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apital_Projects\Public_Safety\"/>
    </mc:Choice>
  </mc:AlternateContent>
  <xr:revisionPtr revIDLastSave="0" documentId="13_ncr:1_{D0E69BFB-DC14-432A-9F8C-0E57BC67A527}" xr6:coauthVersionLast="36" xr6:coauthVersionMax="36" xr10:uidLastSave="{00000000-0000-0000-0000-000000000000}"/>
  <bookViews>
    <workbookView xWindow="0" yWindow="0" windowWidth="28800" windowHeight="12225" xr2:uid="{E0D94FE5-47BF-4677-A907-67D73C115BF9}"/>
  </bookViews>
  <sheets>
    <sheet name="Options" sheetId="1" r:id="rId1"/>
    <sheet name="Admin Options" sheetId="2" r:id="rId2"/>
    <sheet name="Debt Pmnt Schedule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3" l="1"/>
  <c r="M34" i="3" s="1"/>
  <c r="L34" i="3"/>
  <c r="K3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14" i="3"/>
  <c r="K15" i="3" s="1"/>
  <c r="L14" i="3"/>
  <c r="K14" i="3"/>
  <c r="M6" i="3"/>
  <c r="M7" i="3"/>
  <c r="M8" i="3"/>
  <c r="M9" i="3"/>
  <c r="M10" i="3"/>
  <c r="M11" i="3"/>
  <c r="M12" i="3"/>
  <c r="M13" i="3"/>
  <c r="M5" i="3"/>
  <c r="H4" i="3"/>
  <c r="L4" i="3"/>
  <c r="L5" i="3"/>
  <c r="M4" i="3"/>
  <c r="K5" i="3" s="1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K4" i="3"/>
  <c r="K44" i="2"/>
  <c r="H44" i="2"/>
  <c r="E44" i="2"/>
  <c r="C44" i="1"/>
  <c r="C42" i="1"/>
  <c r="H42" i="2"/>
  <c r="K42" i="2"/>
  <c r="E42" i="2"/>
  <c r="H37" i="2"/>
  <c r="K37" i="2"/>
  <c r="L6" i="2"/>
  <c r="C28" i="2"/>
  <c r="N21" i="2"/>
  <c r="L21" i="2"/>
  <c r="J21" i="2"/>
  <c r="M21" i="2" s="1"/>
  <c r="P21" i="2" s="1"/>
  <c r="F21" i="2"/>
  <c r="C21" i="2"/>
  <c r="E21" i="2" s="1"/>
  <c r="H21" i="2" s="1"/>
  <c r="F13" i="2"/>
  <c r="L13" i="2" s="1"/>
  <c r="J25" i="1"/>
  <c r="G25" i="1"/>
  <c r="C4" i="3"/>
  <c r="E4" i="3" s="1"/>
  <c r="F13" i="1"/>
  <c r="C12" i="1"/>
  <c r="G9" i="1"/>
  <c r="F9" i="1"/>
  <c r="D9" i="1"/>
  <c r="L10" i="2"/>
  <c r="L12" i="2"/>
  <c r="L16" i="2"/>
  <c r="L18" i="2"/>
  <c r="L19" i="2"/>
  <c r="L23" i="2"/>
  <c r="P23" i="2" s="1"/>
  <c r="L27" i="2"/>
  <c r="L5" i="2"/>
  <c r="H10" i="2"/>
  <c r="H5" i="2"/>
  <c r="G26" i="2"/>
  <c r="E24" i="2"/>
  <c r="E16" i="2"/>
  <c r="H16" i="2" s="1"/>
  <c r="N16" i="2" s="1"/>
  <c r="E12" i="2"/>
  <c r="C26" i="2"/>
  <c r="E26" i="2" s="1"/>
  <c r="H26" i="2" s="1"/>
  <c r="N26" i="2" s="1"/>
  <c r="C25" i="2"/>
  <c r="E25" i="2" s="1"/>
  <c r="H25" i="2" s="1"/>
  <c r="N25" i="2" s="1"/>
  <c r="C24" i="2"/>
  <c r="C23" i="2"/>
  <c r="E23" i="2" s="1"/>
  <c r="H23" i="2" s="1"/>
  <c r="N23" i="2" s="1"/>
  <c r="C22" i="2"/>
  <c r="E22" i="2" s="1"/>
  <c r="H22" i="2" s="1"/>
  <c r="N22" i="2" s="1"/>
  <c r="C20" i="2"/>
  <c r="C18" i="2"/>
  <c r="E18" i="2" s="1"/>
  <c r="H18" i="2" s="1"/>
  <c r="C15" i="2"/>
  <c r="C11" i="2"/>
  <c r="E11" i="2" s="1"/>
  <c r="H11" i="2" s="1"/>
  <c r="C8" i="2"/>
  <c r="N8" i="2" s="1"/>
  <c r="C6" i="2"/>
  <c r="E6" i="2" s="1"/>
  <c r="N6" i="2" s="1"/>
  <c r="N36" i="2"/>
  <c r="N37" i="2" s="1"/>
  <c r="O28" i="2"/>
  <c r="P25" i="2"/>
  <c r="P24" i="2"/>
  <c r="N19" i="2"/>
  <c r="P18" i="2"/>
  <c r="O17" i="2"/>
  <c r="N10" i="2"/>
  <c r="N7" i="2"/>
  <c r="K36" i="2"/>
  <c r="M20" i="2"/>
  <c r="P20" i="2" s="1"/>
  <c r="M18" i="2"/>
  <c r="M17" i="2"/>
  <c r="N11" i="2"/>
  <c r="E37" i="2"/>
  <c r="E38" i="2" s="1"/>
  <c r="H36" i="2"/>
  <c r="E36" i="2"/>
  <c r="I28" i="2"/>
  <c r="H27" i="2"/>
  <c r="K27" i="2" s="1"/>
  <c r="N27" i="2" s="1"/>
  <c r="F27" i="2"/>
  <c r="D26" i="2"/>
  <c r="F26" i="2" s="1"/>
  <c r="J26" i="2" s="1"/>
  <c r="J25" i="2"/>
  <c r="G25" i="2"/>
  <c r="D25" i="2"/>
  <c r="F25" i="2" s="1"/>
  <c r="L25" i="2" s="1"/>
  <c r="J24" i="2"/>
  <c r="G24" i="2"/>
  <c r="D24" i="2"/>
  <c r="F24" i="2" s="1"/>
  <c r="L24" i="2" s="1"/>
  <c r="G23" i="2"/>
  <c r="D23" i="2"/>
  <c r="F23" i="2" s="1"/>
  <c r="J23" i="2" s="1"/>
  <c r="G22" i="2"/>
  <c r="D22" i="2"/>
  <c r="F22" i="2" s="1"/>
  <c r="L22" i="2" s="1"/>
  <c r="P22" i="2" s="1"/>
  <c r="G20" i="2"/>
  <c r="J20" i="2" s="1"/>
  <c r="D20" i="2"/>
  <c r="F20" i="2" s="1"/>
  <c r="L20" i="2" s="1"/>
  <c r="E20" i="2"/>
  <c r="H20" i="2" s="1"/>
  <c r="N20" i="2" s="1"/>
  <c r="E19" i="2"/>
  <c r="H19" i="2" s="1"/>
  <c r="J18" i="2"/>
  <c r="G18" i="2"/>
  <c r="G28" i="2" s="1"/>
  <c r="D18" i="2"/>
  <c r="F18" i="2" s="1"/>
  <c r="I17" i="2"/>
  <c r="G17" i="2"/>
  <c r="D17" i="2"/>
  <c r="F16" i="2"/>
  <c r="F15" i="2"/>
  <c r="L15" i="2" s="1"/>
  <c r="E15" i="2"/>
  <c r="H15" i="2" s="1"/>
  <c r="N15" i="2" s="1"/>
  <c r="F14" i="2"/>
  <c r="J14" i="2" s="1"/>
  <c r="F12" i="2"/>
  <c r="N12" i="2"/>
  <c r="F11" i="2"/>
  <c r="L11" i="2" s="1"/>
  <c r="F10" i="2"/>
  <c r="F8" i="2"/>
  <c r="L8" i="2" s="1"/>
  <c r="F7" i="2"/>
  <c r="L7" i="2" s="1"/>
  <c r="E7" i="2"/>
  <c r="H7" i="2" s="1"/>
  <c r="F6" i="2"/>
  <c r="E5" i="2"/>
  <c r="H36" i="1"/>
  <c r="G4" i="3" s="1"/>
  <c r="I4" i="3" s="1"/>
  <c r="E36" i="1"/>
  <c r="C23" i="1"/>
  <c r="C22" i="1"/>
  <c r="C21" i="1"/>
  <c r="J23" i="1"/>
  <c r="E22" i="1"/>
  <c r="E23" i="1"/>
  <c r="G23" i="1"/>
  <c r="G22" i="1"/>
  <c r="J22" i="1"/>
  <c r="G24" i="1"/>
  <c r="J24" i="1"/>
  <c r="J26" i="1"/>
  <c r="G26" i="1"/>
  <c r="D21" i="1"/>
  <c r="F21" i="1" s="1"/>
  <c r="G21" i="1"/>
  <c r="J21" i="1" s="1"/>
  <c r="F27" i="1"/>
  <c r="J14" i="1"/>
  <c r="E17" i="1"/>
  <c r="H17" i="1" s="1"/>
  <c r="J16" i="1"/>
  <c r="J18" i="1" s="1"/>
  <c r="C16" i="1"/>
  <c r="E16" i="1" s="1"/>
  <c r="H16" i="1" s="1"/>
  <c r="H11" i="1"/>
  <c r="J19" i="1"/>
  <c r="G19" i="1" s="1"/>
  <c r="D19" i="1"/>
  <c r="F19" i="1" s="1"/>
  <c r="H27" i="1"/>
  <c r="H26" i="1"/>
  <c r="E21" i="1"/>
  <c r="H21" i="1" s="1"/>
  <c r="E20" i="1"/>
  <c r="H20" i="1" s="1"/>
  <c r="E19" i="1"/>
  <c r="H19" i="1" s="1"/>
  <c r="D24" i="1"/>
  <c r="F24" i="1" s="1"/>
  <c r="C24" i="1"/>
  <c r="E24" i="1" s="1"/>
  <c r="H24" i="1" s="1"/>
  <c r="D22" i="1"/>
  <c r="F22" i="1" s="1"/>
  <c r="D23" i="1"/>
  <c r="F23" i="1" s="1"/>
  <c r="D26" i="1"/>
  <c r="F26" i="1" s="1"/>
  <c r="D25" i="1"/>
  <c r="F25" i="1" s="1"/>
  <c r="C26" i="1"/>
  <c r="H23" i="1"/>
  <c r="C25" i="1"/>
  <c r="E25" i="1" s="1"/>
  <c r="H25" i="1" s="1"/>
  <c r="H10" i="1"/>
  <c r="F10" i="1"/>
  <c r="I28" i="1"/>
  <c r="I18" i="1"/>
  <c r="G18" i="1"/>
  <c r="F17" i="1"/>
  <c r="F16" i="1"/>
  <c r="F15" i="1"/>
  <c r="F14" i="1"/>
  <c r="F12" i="1"/>
  <c r="F11" i="1"/>
  <c r="F8" i="1"/>
  <c r="F7" i="1"/>
  <c r="F6" i="1"/>
  <c r="E15" i="1"/>
  <c r="H15" i="1" s="1"/>
  <c r="E12" i="1"/>
  <c r="H12" i="1" s="1"/>
  <c r="E8" i="1"/>
  <c r="H8" i="1" s="1"/>
  <c r="E7" i="1"/>
  <c r="H7" i="1" s="1"/>
  <c r="E6" i="1"/>
  <c r="H6" i="1" s="1"/>
  <c r="E5" i="1"/>
  <c r="H5" i="1" s="1"/>
  <c r="D18" i="1"/>
  <c r="L15" i="3" l="1"/>
  <c r="K6" i="3"/>
  <c r="L6" i="3" s="1"/>
  <c r="H38" i="2"/>
  <c r="L26" i="2"/>
  <c r="P26" i="2" s="1"/>
  <c r="E8" i="2"/>
  <c r="H8" i="2" s="1"/>
  <c r="H6" i="2"/>
  <c r="C17" i="2"/>
  <c r="L14" i="2"/>
  <c r="P14" i="2" s="1"/>
  <c r="I29" i="2"/>
  <c r="I30" i="2" s="1"/>
  <c r="O29" i="2"/>
  <c r="O30" i="2" s="1"/>
  <c r="M28" i="2"/>
  <c r="M29" i="2" s="1"/>
  <c r="M30" i="2" s="1"/>
  <c r="J17" i="2"/>
  <c r="G29" i="2"/>
  <c r="G30" i="2" s="1"/>
  <c r="P17" i="2"/>
  <c r="F17" i="2"/>
  <c r="L17" i="2" s="1"/>
  <c r="E37" i="1"/>
  <c r="E38" i="1" s="1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H37" i="1"/>
  <c r="H38" i="1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D4" i="3"/>
  <c r="C5" i="3" s="1"/>
  <c r="D5" i="3" s="1"/>
  <c r="G34" i="3"/>
  <c r="C34" i="3"/>
  <c r="K38" i="2"/>
  <c r="N38" i="2"/>
  <c r="P28" i="2"/>
  <c r="H24" i="2"/>
  <c r="N24" i="2" s="1"/>
  <c r="E17" i="2"/>
  <c r="F28" i="2"/>
  <c r="E28" i="2"/>
  <c r="J22" i="2"/>
  <c r="J28" i="2" s="1"/>
  <c r="J29" i="2" s="1"/>
  <c r="J30" i="2" s="1"/>
  <c r="D28" i="2"/>
  <c r="D29" i="2" s="1"/>
  <c r="D30" i="2" s="1"/>
  <c r="J28" i="1"/>
  <c r="J29" i="1" s="1"/>
  <c r="J30" i="1" s="1"/>
  <c r="G28" i="1"/>
  <c r="G29" i="1" s="1"/>
  <c r="G30" i="1" s="1"/>
  <c r="C28" i="1"/>
  <c r="D28" i="1"/>
  <c r="D29" i="1" s="1"/>
  <c r="D30" i="1" s="1"/>
  <c r="C18" i="1"/>
  <c r="F28" i="1"/>
  <c r="E18" i="1"/>
  <c r="H18" i="1"/>
  <c r="H22" i="1"/>
  <c r="H28" i="1" s="1"/>
  <c r="F18" i="1"/>
  <c r="F29" i="1" s="1"/>
  <c r="F30" i="1" s="1"/>
  <c r="I29" i="1"/>
  <c r="I30" i="1" s="1"/>
  <c r="K16" i="3" l="1"/>
  <c r="K7" i="3"/>
  <c r="L7" i="3" s="1"/>
  <c r="E34" i="3"/>
  <c r="I34" i="3"/>
  <c r="C29" i="2"/>
  <c r="C30" i="2" s="1"/>
  <c r="C31" i="2" s="1"/>
  <c r="C40" i="2" s="1"/>
  <c r="H28" i="2"/>
  <c r="F29" i="2"/>
  <c r="F30" i="2" s="1"/>
  <c r="L28" i="2"/>
  <c r="L29" i="2" s="1"/>
  <c r="L30" i="2" s="1"/>
  <c r="P29" i="2"/>
  <c r="P30" i="2" s="1"/>
  <c r="G5" i="3"/>
  <c r="C6" i="3"/>
  <c r="D6" i="3" s="1"/>
  <c r="K28" i="2"/>
  <c r="N18" i="2"/>
  <c r="N28" i="2" s="1"/>
  <c r="H17" i="2"/>
  <c r="H29" i="2" s="1"/>
  <c r="H30" i="2" s="1"/>
  <c r="H31" i="2" s="1"/>
  <c r="H40" i="2" s="1"/>
  <c r="E29" i="2"/>
  <c r="E30" i="2" s="1"/>
  <c r="C29" i="1"/>
  <c r="C30" i="1" s="1"/>
  <c r="C31" i="1" s="1"/>
  <c r="C40" i="1" s="1"/>
  <c r="H29" i="1"/>
  <c r="H30" i="1" s="1"/>
  <c r="H31" i="1" s="1"/>
  <c r="H40" i="1" s="1"/>
  <c r="H42" i="1" s="1"/>
  <c r="H44" i="1" s="1"/>
  <c r="E28" i="1"/>
  <c r="E29" i="1" s="1"/>
  <c r="E30" i="1" s="1"/>
  <c r="E31" i="1" s="1"/>
  <c r="E40" i="1" s="1"/>
  <c r="E42" i="1" s="1"/>
  <c r="E44" i="1" s="1"/>
  <c r="L16" i="3" l="1"/>
  <c r="K17" i="3"/>
  <c r="K8" i="3"/>
  <c r="E31" i="2"/>
  <c r="E40" i="2" s="1"/>
  <c r="H5" i="3"/>
  <c r="C7" i="3"/>
  <c r="D7" i="3" s="1"/>
  <c r="K17" i="2"/>
  <c r="K29" i="2" s="1"/>
  <c r="K30" i="2" s="1"/>
  <c r="K31" i="2" s="1"/>
  <c r="K40" i="2" s="1"/>
  <c r="N5" i="2"/>
  <c r="N17" i="2" s="1"/>
  <c r="N29" i="2" s="1"/>
  <c r="N30" i="2" s="1"/>
  <c r="N31" i="2" s="1"/>
  <c r="N40" i="2" s="1"/>
  <c r="L17" i="3" l="1"/>
  <c r="L8" i="3"/>
  <c r="K9" i="3"/>
  <c r="L9" i="3" s="1"/>
  <c r="G6" i="3"/>
  <c r="C8" i="3"/>
  <c r="K18" i="3" l="1"/>
  <c r="L18" i="3" s="1"/>
  <c r="K10" i="3"/>
  <c r="H6" i="3"/>
  <c r="D8" i="3"/>
  <c r="C9" i="3" s="1"/>
  <c r="K19" i="3" l="1"/>
  <c r="L19" i="3"/>
  <c r="L10" i="3"/>
  <c r="K11" i="3" s="1"/>
  <c r="L11" i="3" s="1"/>
  <c r="G7" i="3"/>
  <c r="H7" i="3" s="1"/>
  <c r="G8" i="3" s="1"/>
  <c r="H8" i="3" s="1"/>
  <c r="G9" i="3" s="1"/>
  <c r="H9" i="3" s="1"/>
  <c r="G10" i="3" s="1"/>
  <c r="H10" i="3" s="1"/>
  <c r="G11" i="3" s="1"/>
  <c r="H11" i="3" s="1"/>
  <c r="G12" i="3" s="1"/>
  <c r="H12" i="3" s="1"/>
  <c r="G13" i="3" s="1"/>
  <c r="D9" i="3"/>
  <c r="C10" i="3" s="1"/>
  <c r="K20" i="3" l="1"/>
  <c r="L20" i="3" s="1"/>
  <c r="K12" i="3"/>
  <c r="H13" i="3"/>
  <c r="G14" i="3" s="1"/>
  <c r="D10" i="3"/>
  <c r="C11" i="3" s="1"/>
  <c r="K21" i="3" l="1"/>
  <c r="L12" i="3"/>
  <c r="K13" i="3" s="1"/>
  <c r="L13" i="3" s="1"/>
  <c r="H14" i="3"/>
  <c r="G15" i="3" s="1"/>
  <c r="D11" i="3"/>
  <c r="C12" i="3" s="1"/>
  <c r="L21" i="3" l="1"/>
  <c r="K22" i="3" s="1"/>
  <c r="H15" i="3"/>
  <c r="G16" i="3" s="1"/>
  <c r="D12" i="3"/>
  <c r="C13" i="3" s="1"/>
  <c r="L22" i="3" l="1"/>
  <c r="K23" i="3" s="1"/>
  <c r="H16" i="3"/>
  <c r="G17" i="3" s="1"/>
  <c r="D13" i="3"/>
  <c r="C14" i="3" s="1"/>
  <c r="L23" i="3" l="1"/>
  <c r="H17" i="3"/>
  <c r="G18" i="3" s="1"/>
  <c r="D14" i="3"/>
  <c r="C15" i="3" s="1"/>
  <c r="K24" i="3" l="1"/>
  <c r="H18" i="3"/>
  <c r="G19" i="3" s="1"/>
  <c r="D15" i="3"/>
  <c r="C16" i="3" s="1"/>
  <c r="L24" i="3" l="1"/>
  <c r="H19" i="3"/>
  <c r="G20" i="3" s="1"/>
  <c r="D16" i="3"/>
  <c r="C17" i="3" s="1"/>
  <c r="K25" i="3" l="1"/>
  <c r="H20" i="3"/>
  <c r="G21" i="3" s="1"/>
  <c r="D17" i="3"/>
  <c r="C18" i="3" s="1"/>
  <c r="L25" i="3" l="1"/>
  <c r="H21" i="3"/>
  <c r="G22" i="3" s="1"/>
  <c r="D18" i="3"/>
  <c r="C19" i="3" s="1"/>
  <c r="K26" i="3" l="1"/>
  <c r="H22" i="3"/>
  <c r="G23" i="3" s="1"/>
  <c r="D19" i="3"/>
  <c r="C20" i="3" s="1"/>
  <c r="L26" i="3" l="1"/>
  <c r="H23" i="3"/>
  <c r="G24" i="3" s="1"/>
  <c r="D20" i="3"/>
  <c r="C21" i="3" s="1"/>
  <c r="K27" i="3" l="1"/>
  <c r="H24" i="3"/>
  <c r="G25" i="3" s="1"/>
  <c r="D21" i="3"/>
  <c r="C22" i="3" s="1"/>
  <c r="L27" i="3" l="1"/>
  <c r="H25" i="3"/>
  <c r="G26" i="3" s="1"/>
  <c r="D22" i="3"/>
  <c r="C23" i="3" s="1"/>
  <c r="K28" i="3" l="1"/>
  <c r="H26" i="3"/>
  <c r="G27" i="3" s="1"/>
  <c r="D23" i="3"/>
  <c r="C24" i="3" s="1"/>
  <c r="L28" i="3" l="1"/>
  <c r="H27" i="3"/>
  <c r="G28" i="3" s="1"/>
  <c r="D24" i="3"/>
  <c r="C25" i="3" s="1"/>
  <c r="K29" i="3" l="1"/>
  <c r="H28" i="3"/>
  <c r="G29" i="3" s="1"/>
  <c r="D25" i="3"/>
  <c r="C26" i="3" s="1"/>
  <c r="L29" i="3" l="1"/>
  <c r="H29" i="3"/>
  <c r="G30" i="3" s="1"/>
  <c r="D26" i="3"/>
  <c r="C27" i="3" s="1"/>
  <c r="K30" i="3" l="1"/>
  <c r="H30" i="3"/>
  <c r="G31" i="3" s="1"/>
  <c r="D27" i="3"/>
  <c r="C28" i="3" s="1"/>
  <c r="L30" i="3" l="1"/>
  <c r="H31" i="3"/>
  <c r="G32" i="3" s="1"/>
  <c r="D28" i="3"/>
  <c r="C29" i="3" s="1"/>
  <c r="H32" i="3" l="1"/>
  <c r="G33" i="3" s="1"/>
  <c r="D29" i="3"/>
  <c r="C30" i="3" s="1"/>
  <c r="H33" i="3" l="1"/>
  <c r="H34" i="3" s="1"/>
  <c r="D30" i="3"/>
  <c r="C31" i="3" s="1"/>
  <c r="D31" i="3" l="1"/>
  <c r="C32" i="3" s="1"/>
  <c r="D32" i="3" l="1"/>
  <c r="C33" i="3" s="1"/>
  <c r="D33" i="3" s="1"/>
  <c r="D34" i="3" s="1"/>
</calcChain>
</file>

<file path=xl/sharedStrings.xml><?xml version="1.0" encoding="utf-8"?>
<sst xmlns="http://schemas.openxmlformats.org/spreadsheetml/2006/main" count="176" uniqueCount="94">
  <si>
    <t>Financial Comparison of Facilities</t>
  </si>
  <si>
    <t>City Hall</t>
  </si>
  <si>
    <t>Fire/EMS</t>
  </si>
  <si>
    <t>Stand alone Police</t>
  </si>
  <si>
    <t>Combined Fire/EMS</t>
  </si>
  <si>
    <t>New Site</t>
  </si>
  <si>
    <t>Heating Fuel</t>
  </si>
  <si>
    <t>Wall Membrane*</t>
  </si>
  <si>
    <t>Roof*</t>
  </si>
  <si>
    <t>Door Openers</t>
  </si>
  <si>
    <t>Plumbing*</t>
  </si>
  <si>
    <t>General Maintenance</t>
  </si>
  <si>
    <t>IT</t>
  </si>
  <si>
    <t>Lighting - Internal</t>
  </si>
  <si>
    <t>Lighting - External</t>
  </si>
  <si>
    <t>AC System</t>
  </si>
  <si>
    <t>Parking</t>
  </si>
  <si>
    <t>Outbuildings</t>
  </si>
  <si>
    <t>Fencing</t>
  </si>
  <si>
    <t>Building</t>
  </si>
  <si>
    <t>Site</t>
  </si>
  <si>
    <t>Sub-Total</t>
  </si>
  <si>
    <t>Totals</t>
  </si>
  <si>
    <t>Utility Service - Water*</t>
  </si>
  <si>
    <t>Utility Service - Sewer*</t>
  </si>
  <si>
    <t>Utility Service - Power*</t>
  </si>
  <si>
    <t>Utility Service - Communications*</t>
  </si>
  <si>
    <t>5 Year O&amp;M Costs</t>
  </si>
  <si>
    <t>Heat System</t>
  </si>
  <si>
    <t>Communication (Radios, Antennae, etc.)</t>
  </si>
  <si>
    <t>Maintenance only at new site. New install at City Hall</t>
  </si>
  <si>
    <t>Roof replacement at City Hall and Fire/EMS building, maintenance at new site.</t>
  </si>
  <si>
    <t>Cost/building area will still exist with vacating of city hall basement.</t>
  </si>
  <si>
    <t>Garage maintenance</t>
  </si>
  <si>
    <t>$2 per s.f. bids for repair and resurface. Additional crack seal anticipated in time frame at old facilities. $1/s.f. maintenance at new site over 5 years.</t>
  </si>
  <si>
    <t>??? Equipment Requirements? Overlap potential?</t>
  </si>
  <si>
    <t>General maintenance in city hall with much lower use. Major repair of showers in fire station.</t>
  </si>
  <si>
    <t xml:space="preserve">Replacement life on computers is 4 years. Police have office and cruiser computers. </t>
  </si>
  <si>
    <t>$100/light over five years. City hall has 8 external lights. Estimate 12 for new site.</t>
  </si>
  <si>
    <t>New cooling units needed in Fire/EMS. City Hall basement will still need to be cooled - assume 35% less.</t>
  </si>
  <si>
    <t>Assumes $0.50 per s.f. annually</t>
  </si>
  <si>
    <t>Landscaping*</t>
  </si>
  <si>
    <t>O&amp;M Option Totals</t>
  </si>
  <si>
    <t>Assumes 1/3 water usage in basement of City Hall. New site will accommodate equipment washing so assume 50% increase in usage.</t>
  </si>
  <si>
    <t>Assumes 1/3 sewer cost in city hall. Water usage by Fire at new site, not expected to increase significantly</t>
  </si>
  <si>
    <t>Assumes 50% less heating cost in basement of city hall. New site cost estimates provided by PortCity</t>
  </si>
  <si>
    <t>Assumes 50% less power cost in basement of city hall. New site cost estimates provided by PortCity</t>
  </si>
  <si>
    <t>New site enables combination of communications systems.</t>
  </si>
  <si>
    <t>More fencing maintenance at new site.</t>
  </si>
  <si>
    <t>1/3 of Mun. Building + Department budget in City Hall. New site includes dept only with minimal maintenance on new building.</t>
  </si>
  <si>
    <t>Current Facilities (2018 base)</t>
  </si>
  <si>
    <t>Inflation Factor over 5 years (10%)</t>
  </si>
  <si>
    <t>Preliminary Estimate</t>
  </si>
  <si>
    <t>Available TIF Funds</t>
  </si>
  <si>
    <t>Available Grant Funds</t>
  </si>
  <si>
    <t>Assumed Debt Principle</t>
  </si>
  <si>
    <t>Annual Debt Payments**</t>
  </si>
  <si>
    <t>5 year Equivalent</t>
  </si>
  <si>
    <t>Total 5 year costs</t>
  </si>
  <si>
    <t>Tem</t>
  </si>
  <si>
    <t>Rate</t>
  </si>
  <si>
    <t>Combined Polic/Admin</t>
  </si>
  <si>
    <t>Police</t>
  </si>
  <si>
    <t>Recording System Upgrades</t>
  </si>
  <si>
    <t>Space Renovation</t>
  </si>
  <si>
    <t>Need confirmation from Lita on renovation costs at Fire/EMS</t>
  </si>
  <si>
    <t>** Assumes 30 year 6% interest</t>
  </si>
  <si>
    <t>Payment Schedule</t>
  </si>
  <si>
    <t>Z</t>
  </si>
  <si>
    <t>A</t>
  </si>
  <si>
    <t>B</t>
  </si>
  <si>
    <t>USDA has more funding available but a conservative $3M is used.</t>
  </si>
  <si>
    <t>Principal</t>
  </si>
  <si>
    <t>Interest</t>
  </si>
  <si>
    <t>Term</t>
  </si>
  <si>
    <t>Total Paid</t>
  </si>
  <si>
    <t>Remaining Principal</t>
  </si>
  <si>
    <t>Accrued Interest</t>
  </si>
  <si>
    <t>Payment</t>
  </si>
  <si>
    <t>New Police</t>
  </si>
  <si>
    <t>New Combined</t>
  </si>
  <si>
    <t>Recording System</t>
  </si>
  <si>
    <t>A2</t>
  </si>
  <si>
    <t>B2</t>
  </si>
  <si>
    <t>C2</t>
  </si>
  <si>
    <t>Difference from Status Quo</t>
  </si>
  <si>
    <t>Z (Status Quo)</t>
  </si>
  <si>
    <t>Annual Difference</t>
  </si>
  <si>
    <t>Installing a fence at fire/ems. More fencing maintenance at new site.</t>
  </si>
  <si>
    <t>Assumes 1/3 water usage in basement of City Hall. New site will accommodate equipment washing so assume 50% increase in usage for police.</t>
  </si>
  <si>
    <t>Annual Difference from Status Quo</t>
  </si>
  <si>
    <t>** Assumes 30 year @ 6% interest</t>
  </si>
  <si>
    <t>Possible Bond Scenario</t>
  </si>
  <si>
    <t>Assumes a 2% rate increase for the remainder of the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</si>
</sst>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44" fontId="0" fillId="0" borderId="1" xfId="1" applyFont="1" applyBorder="1"/>
    <xf numFmtId="44" fontId="0" fillId="0" borderId="14" xfId="1" applyFont="1" applyBorder="1"/>
    <xf numFmtId="44" fontId="0" fillId="0" borderId="13" xfId="1" applyFont="1" applyBorder="1"/>
    <xf numFmtId="44" fontId="0" fillId="0" borderId="10" xfId="1" applyFont="1" applyBorder="1"/>
    <xf numFmtId="44" fontId="0" fillId="0" borderId="5" xfId="1" applyFont="1" applyBorder="1"/>
    <xf numFmtId="44" fontId="0" fillId="0" borderId="7" xfId="1" applyFont="1" applyBorder="1"/>
    <xf numFmtId="44" fontId="0" fillId="0" borderId="11" xfId="1" applyFont="1" applyBorder="1"/>
    <xf numFmtId="44" fontId="0" fillId="0" borderId="9" xfId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20" xfId="1" applyFont="1" applyBorder="1"/>
    <xf numFmtId="44" fontId="0" fillId="0" borderId="2" xfId="1" applyFont="1" applyBorder="1"/>
    <xf numFmtId="44" fontId="0" fillId="0" borderId="21" xfId="1" applyFont="1" applyBorder="1"/>
    <xf numFmtId="44" fontId="0" fillId="0" borderId="18" xfId="1" applyFont="1" applyBorder="1"/>
    <xf numFmtId="44" fontId="0" fillId="0" borderId="3" xfId="1" applyFont="1" applyBorder="1"/>
    <xf numFmtId="44" fontId="0" fillId="0" borderId="23" xfId="1" applyFont="1" applyBorder="1"/>
    <xf numFmtId="44" fontId="0" fillId="0" borderId="24" xfId="1" applyFont="1" applyBorder="1"/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/>
    <xf numFmtId="0" fontId="0" fillId="0" borderId="28" xfId="0" applyBorder="1"/>
    <xf numFmtId="44" fontId="0" fillId="0" borderId="4" xfId="1" applyFont="1" applyBorder="1"/>
    <xf numFmtId="44" fontId="0" fillId="0" borderId="6" xfId="1" applyFont="1" applyBorder="1"/>
    <xf numFmtId="44" fontId="0" fillId="0" borderId="8" xfId="1" applyFont="1" applyBorder="1"/>
    <xf numFmtId="44" fontId="0" fillId="0" borderId="29" xfId="1" applyFont="1" applyBorder="1"/>
    <xf numFmtId="44" fontId="0" fillId="0" borderId="30" xfId="1" applyFont="1" applyBorder="1"/>
    <xf numFmtId="44" fontId="0" fillId="0" borderId="31" xfId="1" applyFont="1" applyBorder="1"/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0" fontId="0" fillId="0" borderId="33" xfId="0" applyBorder="1" applyAlignment="1">
      <alignment horizontal="center"/>
    </xf>
    <xf numFmtId="44" fontId="0" fillId="0" borderId="34" xfId="1" applyFont="1" applyBorder="1"/>
    <xf numFmtId="44" fontId="0" fillId="0" borderId="35" xfId="1" applyFont="1" applyBorder="1"/>
    <xf numFmtId="44" fontId="0" fillId="0" borderId="12" xfId="1" applyFont="1" applyBorder="1"/>
    <xf numFmtId="44" fontId="0" fillId="0" borderId="36" xfId="1" applyFont="1" applyBorder="1"/>
    <xf numFmtId="44" fontId="0" fillId="0" borderId="38" xfId="1" applyFont="1" applyBorder="1"/>
    <xf numFmtId="44" fontId="0" fillId="0" borderId="39" xfId="1" applyFont="1" applyBorder="1"/>
    <xf numFmtId="44" fontId="0" fillId="0" borderId="40" xfId="1" applyFont="1" applyBorder="1"/>
    <xf numFmtId="44" fontId="0" fillId="0" borderId="41" xfId="1" applyFont="1" applyBorder="1"/>
    <xf numFmtId="44" fontId="0" fillId="0" borderId="42" xfId="1" applyFont="1" applyBorder="1"/>
    <xf numFmtId="44" fontId="0" fillId="0" borderId="10" xfId="0" applyNumberFormat="1" applyBorder="1"/>
    <xf numFmtId="0" fontId="2" fillId="0" borderId="0" xfId="0" applyFont="1" applyFill="1" applyBorder="1"/>
    <xf numFmtId="44" fontId="2" fillId="0" borderId="0" xfId="0" applyNumberFormat="1" applyFont="1" applyBorder="1"/>
    <xf numFmtId="44" fontId="0" fillId="0" borderId="6" xfId="1" applyFont="1" applyFill="1" applyBorder="1"/>
    <xf numFmtId="44" fontId="0" fillId="0" borderId="7" xfId="1" applyFont="1" applyFill="1" applyBorder="1"/>
    <xf numFmtId="44" fontId="0" fillId="0" borderId="1" xfId="1" applyFont="1" applyFill="1" applyBorder="1"/>
    <xf numFmtId="0" fontId="0" fillId="2" borderId="16" xfId="0" applyFill="1" applyBorder="1"/>
    <xf numFmtId="166" fontId="0" fillId="0" borderId="1" xfId="1" applyNumberFormat="1" applyFont="1" applyBorder="1" applyAlignment="1">
      <alignment horizontal="center"/>
    </xf>
    <xf numFmtId="166" fontId="0" fillId="0" borderId="36" xfId="1" applyNumberFormat="1" applyFont="1" applyBorder="1" applyAlignment="1">
      <alignment horizontal="center" wrapText="1"/>
    </xf>
    <xf numFmtId="166" fontId="0" fillId="0" borderId="38" xfId="1" applyNumberFormat="1" applyFont="1" applyBorder="1" applyAlignment="1">
      <alignment horizontal="center" wrapText="1"/>
    </xf>
    <xf numFmtId="44" fontId="0" fillId="0" borderId="38" xfId="1" applyNumberFormat="1" applyFont="1" applyBorder="1" applyAlignment="1">
      <alignment horizontal="center"/>
    </xf>
    <xf numFmtId="166" fontId="0" fillId="0" borderId="38" xfId="1" applyNumberFormat="1" applyFont="1" applyBorder="1" applyAlignment="1">
      <alignment horizontal="center"/>
    </xf>
    <xf numFmtId="166" fontId="0" fillId="0" borderId="39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 wrapText="1"/>
    </xf>
    <xf numFmtId="166" fontId="0" fillId="0" borderId="10" xfId="1" applyNumberFormat="1" applyFont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 wrapText="1"/>
    </xf>
    <xf numFmtId="166" fontId="0" fillId="0" borderId="7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 wrapText="1"/>
    </xf>
    <xf numFmtId="166" fontId="0" fillId="0" borderId="11" xfId="1" applyNumberFormat="1" applyFont="1" applyBorder="1" applyAlignment="1">
      <alignment horizontal="center"/>
    </xf>
    <xf numFmtId="166" fontId="0" fillId="0" borderId="9" xfId="1" applyNumberFormat="1" applyFont="1" applyBorder="1" applyAlignment="1">
      <alignment horizontal="center"/>
    </xf>
    <xf numFmtId="166" fontId="0" fillId="0" borderId="20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21" xfId="1" applyNumberFormat="1" applyFont="1" applyBorder="1" applyAlignment="1">
      <alignment horizontal="center"/>
    </xf>
    <xf numFmtId="166" fontId="0" fillId="0" borderId="22" xfId="1" applyNumberFormat="1" applyFont="1" applyBorder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44" fontId="0" fillId="0" borderId="23" xfId="1" applyNumberFormat="1" applyFont="1" applyBorder="1" applyAlignment="1">
      <alignment horizontal="center"/>
    </xf>
    <xf numFmtId="166" fontId="0" fillId="0" borderId="5" xfId="1" applyNumberFormat="1" applyFont="1" applyBorder="1" applyAlignment="1">
      <alignment horizontal="center" wrapText="1"/>
    </xf>
    <xf numFmtId="166" fontId="0" fillId="0" borderId="7" xfId="1" applyNumberFormat="1" applyFont="1" applyBorder="1" applyAlignment="1">
      <alignment horizontal="center" wrapText="1"/>
    </xf>
    <xf numFmtId="166" fontId="0" fillId="0" borderId="9" xfId="1" applyNumberFormat="1" applyFont="1" applyBorder="1" applyAlignment="1">
      <alignment horizontal="center" wrapText="1"/>
    </xf>
    <xf numFmtId="166" fontId="0" fillId="0" borderId="4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44" fontId="0" fillId="0" borderId="8" xfId="1" applyNumberFormat="1" applyFont="1" applyBorder="1" applyAlignment="1">
      <alignment horizontal="center"/>
    </xf>
    <xf numFmtId="44" fontId="2" fillId="0" borderId="37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2" borderId="0" xfId="0" applyFill="1" applyBorder="1"/>
    <xf numFmtId="0" fontId="0" fillId="0" borderId="16" xfId="0" applyFill="1" applyBorder="1"/>
    <xf numFmtId="44" fontId="0" fillId="3" borderId="7" xfId="1" applyFont="1" applyFill="1" applyBorder="1"/>
    <xf numFmtId="44" fontId="0" fillId="3" borderId="1" xfId="1" applyFont="1" applyFill="1" applyBorder="1"/>
    <xf numFmtId="44" fontId="0" fillId="0" borderId="0" xfId="1" applyFont="1"/>
    <xf numFmtId="44" fontId="0" fillId="0" borderId="0" xfId="0" applyNumberFormat="1"/>
    <xf numFmtId="8" fontId="0" fillId="0" borderId="0" xfId="0" applyNumberFormat="1"/>
    <xf numFmtId="44" fontId="0" fillId="3" borderId="10" xfId="1" applyFont="1" applyFill="1" applyBorder="1"/>
    <xf numFmtId="166" fontId="0" fillId="0" borderId="37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44" fontId="0" fillId="0" borderId="37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0" applyFont="1"/>
    <xf numFmtId="44" fontId="2" fillId="0" borderId="0" xfId="0" applyNumberFormat="1" applyFont="1"/>
    <xf numFmtId="8" fontId="2" fillId="0" borderId="0" xfId="0" applyNumberFormat="1" applyFont="1"/>
    <xf numFmtId="44" fontId="0" fillId="0" borderId="37" xfId="1" applyFont="1" applyBorder="1" applyAlignment="1">
      <alignment horizontal="center"/>
    </xf>
    <xf numFmtId="44" fontId="0" fillId="0" borderId="4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7DF44-C3AF-40E4-BE94-1F4DF91AF1E4}">
  <sheetPr>
    <pageSetUpPr fitToPage="1"/>
  </sheetPr>
  <dimension ref="A1:P46"/>
  <sheetViews>
    <sheetView tabSelected="1" workbookViewId="0">
      <selection activeCell="C48" sqref="C48"/>
    </sheetView>
  </sheetViews>
  <sheetFormatPr defaultRowHeight="15" x14ac:dyDescent="0.25"/>
  <cols>
    <col min="1" max="1" width="5.42578125" style="2" customWidth="1"/>
    <col min="2" max="2" width="31.140625" style="2" bestFit="1" customWidth="1"/>
    <col min="3" max="4" width="14.5703125" style="2" customWidth="1"/>
    <col min="5" max="7" width="12.5703125" style="2" bestFit="1" customWidth="1"/>
    <col min="8" max="8" width="16.28515625" style="2" bestFit="1" customWidth="1"/>
    <col min="9" max="9" width="9" style="2" bestFit="1" customWidth="1"/>
    <col min="10" max="10" width="12.5703125" style="2" bestFit="1" customWidth="1"/>
    <col min="11" max="16384" width="9.140625" style="2"/>
  </cols>
  <sheetData>
    <row r="1" spans="1:11" ht="15" customHeight="1" thickBot="1" x14ac:dyDescent="0.3">
      <c r="B1" s="2" t="s">
        <v>0</v>
      </c>
      <c r="C1" s="40" t="s">
        <v>27</v>
      </c>
      <c r="D1" s="40"/>
      <c r="E1" s="40"/>
      <c r="F1" s="40"/>
      <c r="G1" s="40"/>
      <c r="H1" s="40"/>
      <c r="I1" s="40"/>
      <c r="J1" s="40"/>
    </row>
    <row r="2" spans="1:11" ht="15" customHeight="1" thickBot="1" x14ac:dyDescent="0.3">
      <c r="C2" s="25" t="s">
        <v>68</v>
      </c>
      <c r="D2" s="26"/>
      <c r="E2" s="35" t="s">
        <v>69</v>
      </c>
      <c r="F2" s="36"/>
      <c r="G2" s="37"/>
      <c r="H2" s="35" t="s">
        <v>70</v>
      </c>
      <c r="I2" s="36"/>
      <c r="J2" s="37"/>
    </row>
    <row r="3" spans="1:11" ht="15" customHeight="1" x14ac:dyDescent="0.25">
      <c r="C3" s="25" t="s">
        <v>50</v>
      </c>
      <c r="D3" s="26"/>
      <c r="E3" s="35" t="s">
        <v>3</v>
      </c>
      <c r="F3" s="36"/>
      <c r="G3" s="37"/>
      <c r="H3" s="35" t="s">
        <v>4</v>
      </c>
      <c r="I3" s="36"/>
      <c r="J3" s="37"/>
    </row>
    <row r="4" spans="1:11" ht="15.75" thickBot="1" x14ac:dyDescent="0.3">
      <c r="C4" s="27" t="s">
        <v>62</v>
      </c>
      <c r="D4" s="28" t="s">
        <v>2</v>
      </c>
      <c r="E4" s="27" t="s">
        <v>1</v>
      </c>
      <c r="F4" s="2" t="s">
        <v>2</v>
      </c>
      <c r="G4" s="28" t="s">
        <v>5</v>
      </c>
      <c r="H4" s="27" t="s">
        <v>1</v>
      </c>
      <c r="I4" s="2" t="s">
        <v>2</v>
      </c>
      <c r="J4" s="28" t="s">
        <v>5</v>
      </c>
    </row>
    <row r="5" spans="1:11" x14ac:dyDescent="0.25">
      <c r="A5" s="4" t="s">
        <v>19</v>
      </c>
      <c r="B5" s="13" t="s">
        <v>7</v>
      </c>
      <c r="C5" s="29">
        <v>5000</v>
      </c>
      <c r="D5" s="9"/>
      <c r="E5" s="29">
        <f>C5</f>
        <v>5000</v>
      </c>
      <c r="F5" s="8">
        <v>0</v>
      </c>
      <c r="G5" s="9">
        <v>0</v>
      </c>
      <c r="H5" s="29">
        <f>E5</f>
        <v>5000</v>
      </c>
      <c r="I5" s="8">
        <v>0</v>
      </c>
      <c r="J5" s="9">
        <v>0</v>
      </c>
      <c r="K5" s="2" t="s">
        <v>32</v>
      </c>
    </row>
    <row r="6" spans="1:11" x14ac:dyDescent="0.25">
      <c r="A6" s="4"/>
      <c r="B6" s="14" t="s">
        <v>8</v>
      </c>
      <c r="C6" s="30">
        <v>41666.666666666664</v>
      </c>
      <c r="D6" s="10">
        <v>250000</v>
      </c>
      <c r="E6" s="30">
        <f>C6</f>
        <v>41666.666666666664</v>
      </c>
      <c r="F6" s="5">
        <f>D6</f>
        <v>250000</v>
      </c>
      <c r="G6" s="10">
        <v>0</v>
      </c>
      <c r="H6" s="30">
        <f>E6</f>
        <v>41666.666666666664</v>
      </c>
      <c r="I6" s="5">
        <v>0</v>
      </c>
      <c r="J6" s="10">
        <v>0</v>
      </c>
      <c r="K6" s="2" t="s">
        <v>31</v>
      </c>
    </row>
    <row r="7" spans="1:11" x14ac:dyDescent="0.25">
      <c r="A7" s="4"/>
      <c r="B7" s="14" t="s">
        <v>9</v>
      </c>
      <c r="C7" s="30">
        <v>4000</v>
      </c>
      <c r="D7" s="10">
        <v>12000</v>
      </c>
      <c r="E7" s="30">
        <f>C7</f>
        <v>4000</v>
      </c>
      <c r="F7" s="5">
        <f>D7</f>
        <v>12000</v>
      </c>
      <c r="G7" s="10">
        <v>1000</v>
      </c>
      <c r="H7" s="30">
        <f>E7</f>
        <v>4000</v>
      </c>
      <c r="I7" s="5">
        <v>0</v>
      </c>
      <c r="J7" s="10">
        <v>1000</v>
      </c>
      <c r="K7" s="2" t="s">
        <v>30</v>
      </c>
    </row>
    <row r="8" spans="1:11" x14ac:dyDescent="0.25">
      <c r="A8" s="4"/>
      <c r="B8" s="14" t="s">
        <v>10</v>
      </c>
      <c r="C8" s="30">
        <v>2400</v>
      </c>
      <c r="D8" s="10">
        <v>8500</v>
      </c>
      <c r="E8" s="30">
        <f>C8*0.333</f>
        <v>799.2</v>
      </c>
      <c r="F8" s="5">
        <f>D8</f>
        <v>8500</v>
      </c>
      <c r="G8" s="10">
        <v>0</v>
      </c>
      <c r="H8" s="30">
        <f>E8</f>
        <v>799.2</v>
      </c>
      <c r="I8" s="5">
        <v>0</v>
      </c>
      <c r="J8" s="10">
        <v>0</v>
      </c>
      <c r="K8" s="38" t="s">
        <v>36</v>
      </c>
    </row>
    <row r="9" spans="1:11" x14ac:dyDescent="0.25">
      <c r="A9" s="4"/>
      <c r="B9" s="14" t="s">
        <v>63</v>
      </c>
      <c r="C9" s="30">
        <v>12500</v>
      </c>
      <c r="D9" s="10">
        <f>C9</f>
        <v>12500</v>
      </c>
      <c r="E9" s="30"/>
      <c r="F9" s="5">
        <f>D9</f>
        <v>12500</v>
      </c>
      <c r="G9" s="10">
        <f>C9</f>
        <v>12500</v>
      </c>
      <c r="H9" s="30"/>
      <c r="I9" s="5"/>
      <c r="J9" s="10">
        <v>12500</v>
      </c>
      <c r="K9" s="38"/>
    </row>
    <row r="10" spans="1:11" x14ac:dyDescent="0.25">
      <c r="A10" s="4"/>
      <c r="B10" s="56" t="s">
        <v>29</v>
      </c>
      <c r="C10" s="53">
        <v>202000</v>
      </c>
      <c r="D10" s="54">
        <v>132000</v>
      </c>
      <c r="E10" s="53">
        <v>0</v>
      </c>
      <c r="F10" s="55">
        <f>D10</f>
        <v>132000</v>
      </c>
      <c r="G10" s="54">
        <v>202000</v>
      </c>
      <c r="H10" s="30">
        <f>E10</f>
        <v>0</v>
      </c>
      <c r="I10" s="5">
        <v>0</v>
      </c>
      <c r="J10" s="10">
        <v>202000</v>
      </c>
      <c r="K10" s="38" t="s">
        <v>35</v>
      </c>
    </row>
    <row r="11" spans="1:11" x14ac:dyDescent="0.25">
      <c r="A11" s="4"/>
      <c r="B11" s="14" t="s">
        <v>11</v>
      </c>
      <c r="C11" s="53">
        <v>112507</v>
      </c>
      <c r="D11" s="54">
        <v>120000</v>
      </c>
      <c r="E11" s="53">
        <v>97000</v>
      </c>
      <c r="F11" s="55">
        <f>D11</f>
        <v>120000</v>
      </c>
      <c r="G11" s="54">
        <v>10000</v>
      </c>
      <c r="H11" s="30">
        <f>E11</f>
        <v>97000</v>
      </c>
      <c r="I11" s="5">
        <v>0</v>
      </c>
      <c r="J11" s="10">
        <v>15000</v>
      </c>
      <c r="K11" s="38" t="s">
        <v>49</v>
      </c>
    </row>
    <row r="12" spans="1:11" x14ac:dyDescent="0.25">
      <c r="A12" s="4"/>
      <c r="B12" s="56" t="s">
        <v>28</v>
      </c>
      <c r="C12" s="53">
        <f>53000/3</f>
        <v>17666.666666666668</v>
      </c>
      <c r="D12" s="54">
        <v>53000</v>
      </c>
      <c r="E12" s="53">
        <f>C12*0.75</f>
        <v>13250</v>
      </c>
      <c r="F12" s="55">
        <f>D12</f>
        <v>53000</v>
      </c>
      <c r="G12" s="54">
        <v>500</v>
      </c>
      <c r="H12" s="30">
        <f>E12</f>
        <v>13250</v>
      </c>
      <c r="I12" s="5">
        <v>0</v>
      </c>
      <c r="J12" s="10">
        <v>1000</v>
      </c>
    </row>
    <row r="13" spans="1:11" x14ac:dyDescent="0.25">
      <c r="A13" s="4"/>
      <c r="B13" s="87" t="s">
        <v>64</v>
      </c>
      <c r="C13" s="53">
        <v>25000</v>
      </c>
      <c r="D13" s="88">
        <v>60000</v>
      </c>
      <c r="E13" s="53">
        <v>10000</v>
      </c>
      <c r="F13" s="89">
        <f>D13</f>
        <v>60000</v>
      </c>
      <c r="G13" s="54">
        <v>0</v>
      </c>
      <c r="H13" s="30">
        <v>10000</v>
      </c>
      <c r="I13" s="5">
        <v>0</v>
      </c>
      <c r="J13" s="10">
        <v>0</v>
      </c>
      <c r="K13" s="38" t="s">
        <v>65</v>
      </c>
    </row>
    <row r="14" spans="1:11" x14ac:dyDescent="0.25">
      <c r="A14" s="4"/>
      <c r="B14" s="14" t="s">
        <v>12</v>
      </c>
      <c r="C14" s="30">
        <v>6000</v>
      </c>
      <c r="D14" s="10">
        <v>3600</v>
      </c>
      <c r="E14" s="30">
        <v>0</v>
      </c>
      <c r="F14" s="5">
        <f>D14</f>
        <v>3600</v>
      </c>
      <c r="G14" s="10">
        <v>6000</v>
      </c>
      <c r="H14" s="30">
        <v>0</v>
      </c>
      <c r="I14" s="5">
        <v>0</v>
      </c>
      <c r="J14" s="10">
        <f>F14+G14</f>
        <v>9600</v>
      </c>
      <c r="K14" s="38" t="s">
        <v>37</v>
      </c>
    </row>
    <row r="15" spans="1:11" x14ac:dyDescent="0.25">
      <c r="A15" s="4"/>
      <c r="B15" s="14" t="s">
        <v>13</v>
      </c>
      <c r="C15" s="30">
        <v>833.33333333333337</v>
      </c>
      <c r="D15" s="10">
        <v>1500</v>
      </c>
      <c r="E15" s="30">
        <f>C15</f>
        <v>833.33333333333337</v>
      </c>
      <c r="F15" s="5">
        <f>D15</f>
        <v>1500</v>
      </c>
      <c r="G15" s="10">
        <v>1000</v>
      </c>
      <c r="H15" s="30">
        <f>E15</f>
        <v>833.33333333333337</v>
      </c>
      <c r="I15" s="5">
        <v>0</v>
      </c>
      <c r="J15" s="10">
        <v>2500</v>
      </c>
    </row>
    <row r="16" spans="1:11" x14ac:dyDescent="0.25">
      <c r="A16" s="4"/>
      <c r="B16" s="14" t="s">
        <v>14</v>
      </c>
      <c r="C16" s="30">
        <f>800*0.333</f>
        <v>266.40000000000003</v>
      </c>
      <c r="D16" s="10">
        <v>6000</v>
      </c>
      <c r="E16" s="30">
        <f>C16</f>
        <v>266.40000000000003</v>
      </c>
      <c r="F16" s="5">
        <f>D16</f>
        <v>6000</v>
      </c>
      <c r="G16" s="10">
        <v>5000</v>
      </c>
      <c r="H16" s="30">
        <f>E16</f>
        <v>266.40000000000003</v>
      </c>
      <c r="I16" s="5">
        <v>0</v>
      </c>
      <c r="J16" s="10">
        <f>G16</f>
        <v>5000</v>
      </c>
      <c r="K16" s="2" t="s">
        <v>38</v>
      </c>
    </row>
    <row r="17" spans="1:11" ht="15.75" thickBot="1" x14ac:dyDescent="0.3">
      <c r="A17" s="4"/>
      <c r="B17" s="15" t="s">
        <v>15</v>
      </c>
      <c r="C17" s="31">
        <v>7500</v>
      </c>
      <c r="D17" s="12">
        <v>13000</v>
      </c>
      <c r="E17" s="41">
        <f>C17*0.65</f>
        <v>4875</v>
      </c>
      <c r="F17" s="6">
        <f>D17</f>
        <v>13000</v>
      </c>
      <c r="G17" s="42">
        <v>2000</v>
      </c>
      <c r="H17" s="41">
        <f>E17</f>
        <v>4875</v>
      </c>
      <c r="I17" s="6">
        <v>0</v>
      </c>
      <c r="J17" s="42">
        <v>3000</v>
      </c>
      <c r="K17" s="2" t="s">
        <v>39</v>
      </c>
    </row>
    <row r="18" spans="1:11" ht="15.75" thickBot="1" x14ac:dyDescent="0.3">
      <c r="B18" s="16" t="s">
        <v>21</v>
      </c>
      <c r="C18" s="32">
        <f>SUM(C5:C17)</f>
        <v>437340.06666666665</v>
      </c>
      <c r="D18" s="21">
        <f>SUM(D5:D17)</f>
        <v>672100</v>
      </c>
      <c r="E18" s="47">
        <f>SUM(E5:E17)</f>
        <v>177690.6</v>
      </c>
      <c r="F18" s="48">
        <f>SUM(F5:F17)</f>
        <v>672100</v>
      </c>
      <c r="G18" s="49">
        <f>SUM(G5:G17)</f>
        <v>240000</v>
      </c>
      <c r="H18" s="44">
        <f>SUM(H5:H17)</f>
        <v>177690.6</v>
      </c>
      <c r="I18" s="45">
        <f>SUM(I5:I17)</f>
        <v>0</v>
      </c>
      <c r="J18" s="46">
        <f>SUM(J5:J17)</f>
        <v>251600</v>
      </c>
    </row>
    <row r="19" spans="1:11" x14ac:dyDescent="0.25">
      <c r="A19" s="4" t="s">
        <v>20</v>
      </c>
      <c r="B19" s="13" t="s">
        <v>16</v>
      </c>
      <c r="C19" s="29">
        <v>25000</v>
      </c>
      <c r="D19" s="18">
        <f>(15543+11741)*2</f>
        <v>54568</v>
      </c>
      <c r="E19" s="29">
        <f>C19</f>
        <v>25000</v>
      </c>
      <c r="F19" s="50">
        <f>D19</f>
        <v>54568</v>
      </c>
      <c r="G19" s="9">
        <f>J19*0.75</f>
        <v>63994.5</v>
      </c>
      <c r="H19" s="24">
        <f>E19</f>
        <v>25000</v>
      </c>
      <c r="I19" s="7">
        <v>0</v>
      </c>
      <c r="J19" s="43">
        <f>(41961+43365)</f>
        <v>85326</v>
      </c>
      <c r="K19" s="2" t="s">
        <v>34</v>
      </c>
    </row>
    <row r="20" spans="1:11" x14ac:dyDescent="0.25">
      <c r="A20" s="4"/>
      <c r="B20" s="14" t="s">
        <v>17</v>
      </c>
      <c r="C20" s="30">
        <v>5000</v>
      </c>
      <c r="D20" s="19">
        <v>0</v>
      </c>
      <c r="E20" s="30">
        <f>C20</f>
        <v>5000</v>
      </c>
      <c r="F20" s="5">
        <v>0</v>
      </c>
      <c r="G20" s="10">
        <v>22000</v>
      </c>
      <c r="H20" s="22">
        <f>E20</f>
        <v>5000</v>
      </c>
      <c r="I20" s="5">
        <v>0</v>
      </c>
      <c r="J20" s="10">
        <v>3000</v>
      </c>
      <c r="K20" s="2" t="s">
        <v>33</v>
      </c>
    </row>
    <row r="21" spans="1:11" x14ac:dyDescent="0.25">
      <c r="A21" s="4"/>
      <c r="B21" s="14" t="s">
        <v>41</v>
      </c>
      <c r="C21" s="30">
        <f>(240+1200+680+3400+7800)*2.5/3</f>
        <v>11100</v>
      </c>
      <c r="D21" s="19">
        <f>(2700+850+11785+1500+850+20000)*2.5</f>
        <v>94212.5</v>
      </c>
      <c r="E21" s="30">
        <f>C21</f>
        <v>11100</v>
      </c>
      <c r="F21" s="5">
        <f>D21</f>
        <v>94212.5</v>
      </c>
      <c r="G21" s="10">
        <f>74000*2.5</f>
        <v>185000</v>
      </c>
      <c r="H21" s="22">
        <f>E21</f>
        <v>11100</v>
      </c>
      <c r="I21" s="5">
        <v>0</v>
      </c>
      <c r="J21" s="10">
        <f>G21</f>
        <v>185000</v>
      </c>
      <c r="K21" s="38" t="s">
        <v>40</v>
      </c>
    </row>
    <row r="22" spans="1:11" x14ac:dyDescent="0.25">
      <c r="A22" s="4"/>
      <c r="B22" s="14" t="s">
        <v>23</v>
      </c>
      <c r="C22" s="30">
        <f>218.53*5</f>
        <v>1092.6500000000001</v>
      </c>
      <c r="D22" s="19">
        <f>667.05*5</f>
        <v>3335.25</v>
      </c>
      <c r="E22" s="30">
        <f>C22*0.333</f>
        <v>363.85245000000003</v>
      </c>
      <c r="F22" s="5">
        <f>D22</f>
        <v>3335.25</v>
      </c>
      <c r="G22" s="10">
        <f>350*5</f>
        <v>1750</v>
      </c>
      <c r="H22" s="22">
        <f>E22</f>
        <v>363.85245000000003</v>
      </c>
      <c r="I22" s="5">
        <v>0</v>
      </c>
      <c r="J22" s="10">
        <f>G22+F22</f>
        <v>5085.25</v>
      </c>
      <c r="K22" s="38" t="s">
        <v>89</v>
      </c>
    </row>
    <row r="23" spans="1:11" x14ac:dyDescent="0.25">
      <c r="A23" s="4"/>
      <c r="B23" s="14" t="s">
        <v>24</v>
      </c>
      <c r="C23" s="30">
        <f>135.51*5*1.25</f>
        <v>846.9375</v>
      </c>
      <c r="D23" s="19">
        <f>403.1*5</f>
        <v>2015.5</v>
      </c>
      <c r="E23" s="30">
        <f>C23*0.333</f>
        <v>282.03018750000001</v>
      </c>
      <c r="F23" s="5">
        <f>D23</f>
        <v>2015.5</v>
      </c>
      <c r="G23" s="10">
        <f>250*5</f>
        <v>1250</v>
      </c>
      <c r="H23" s="22">
        <f>E23</f>
        <v>282.03018750000001</v>
      </c>
      <c r="I23" s="5">
        <v>0</v>
      </c>
      <c r="J23" s="10">
        <f>G23+F23</f>
        <v>3265.5</v>
      </c>
      <c r="K23" s="38" t="s">
        <v>44</v>
      </c>
    </row>
    <row r="24" spans="1:11" x14ac:dyDescent="0.25">
      <c r="A24" s="4"/>
      <c r="B24" s="14" t="s">
        <v>6</v>
      </c>
      <c r="C24" s="30">
        <f>3994.64*5</f>
        <v>19973.2</v>
      </c>
      <c r="D24" s="19">
        <f>17432.87*5</f>
        <v>87164.349999999991</v>
      </c>
      <c r="E24" s="30">
        <f>C24*0.5</f>
        <v>9986.6</v>
      </c>
      <c r="F24" s="5">
        <f>D24</f>
        <v>87164.349999999991</v>
      </c>
      <c r="G24" s="10">
        <f>569.7*12*5</f>
        <v>34182</v>
      </c>
      <c r="H24" s="22">
        <f>E24</f>
        <v>9986.6</v>
      </c>
      <c r="I24" s="5">
        <v>0</v>
      </c>
      <c r="J24" s="10">
        <f>1111.56*12*5</f>
        <v>66693.599999999991</v>
      </c>
      <c r="K24" s="38" t="s">
        <v>45</v>
      </c>
    </row>
    <row r="25" spans="1:11" x14ac:dyDescent="0.25">
      <c r="A25" s="4"/>
      <c r="B25" s="14" t="s">
        <v>25</v>
      </c>
      <c r="C25" s="30">
        <f>3432.58*5</f>
        <v>17162.900000000001</v>
      </c>
      <c r="D25" s="19">
        <f>5*5472.05</f>
        <v>27360.25</v>
      </c>
      <c r="E25" s="30">
        <f>C25*0.5</f>
        <v>8581.4500000000007</v>
      </c>
      <c r="F25" s="5">
        <f>D25</f>
        <v>27360.25</v>
      </c>
      <c r="G25" s="10">
        <f>854.55*12*5*0.7023</f>
        <v>36009.027899999994</v>
      </c>
      <c r="H25" s="22">
        <f>E25</f>
        <v>8581.4500000000007</v>
      </c>
      <c r="I25" s="5">
        <v>0</v>
      </c>
      <c r="J25" s="10">
        <f>1667.34*12*5*0.7023</f>
        <v>70258.372919999994</v>
      </c>
      <c r="K25" s="38" t="s">
        <v>46</v>
      </c>
    </row>
    <row r="26" spans="1:11" x14ac:dyDescent="0.25">
      <c r="A26" s="4"/>
      <c r="B26" s="14" t="s">
        <v>26</v>
      </c>
      <c r="C26" s="30">
        <f>5*(3505.77+1719.69)</f>
        <v>26127.3</v>
      </c>
      <c r="D26" s="19">
        <f>5*(4623.93+895.5)</f>
        <v>27597.15</v>
      </c>
      <c r="E26" s="30">
        <v>0</v>
      </c>
      <c r="F26" s="5">
        <f>D26</f>
        <v>27597.15</v>
      </c>
      <c r="G26" s="10">
        <f>C26</f>
        <v>26127.3</v>
      </c>
      <c r="H26" s="22">
        <f>E26</f>
        <v>0</v>
      </c>
      <c r="I26" s="5">
        <v>0</v>
      </c>
      <c r="J26" s="10">
        <f>F26*1.5</f>
        <v>41395.725000000006</v>
      </c>
      <c r="K26" s="38" t="s">
        <v>47</v>
      </c>
    </row>
    <row r="27" spans="1:11" ht="15.75" thickBot="1" x14ac:dyDescent="0.3">
      <c r="A27" s="4"/>
      <c r="B27" s="15" t="s">
        <v>18</v>
      </c>
      <c r="C27" s="31">
        <v>0</v>
      </c>
      <c r="D27" s="20">
        <v>5000</v>
      </c>
      <c r="E27" s="31">
        <v>0</v>
      </c>
      <c r="F27" s="5">
        <f>D27</f>
        <v>5000</v>
      </c>
      <c r="G27" s="12">
        <v>0</v>
      </c>
      <c r="H27" s="23">
        <f>E27</f>
        <v>0</v>
      </c>
      <c r="I27" s="11">
        <v>0</v>
      </c>
      <c r="J27" s="12">
        <v>7500</v>
      </c>
      <c r="K27" s="38" t="s">
        <v>88</v>
      </c>
    </row>
    <row r="28" spans="1:11" ht="15.75" thickBot="1" x14ac:dyDescent="0.3">
      <c r="B28" s="17" t="s">
        <v>21</v>
      </c>
      <c r="C28" s="33">
        <f>SUM(C19:C27)</f>
        <v>106302.9875</v>
      </c>
      <c r="D28" s="34">
        <f>SUM(D19:D27)</f>
        <v>301253</v>
      </c>
      <c r="E28" s="34">
        <f>SUM(E19:E27)</f>
        <v>60313.932637499995</v>
      </c>
      <c r="F28" s="34">
        <f>SUM(F19:F27)</f>
        <v>301253</v>
      </c>
      <c r="G28" s="34">
        <f>SUM(G19:G27)</f>
        <v>370312.82789999997</v>
      </c>
      <c r="H28" s="34">
        <f>SUM(H19:H27)</f>
        <v>60313.932637499995</v>
      </c>
      <c r="I28" s="34">
        <f>SUM(I19:I27)</f>
        <v>0</v>
      </c>
      <c r="J28" s="34">
        <f>SUM(J19:J27)</f>
        <v>467524.44791999995</v>
      </c>
    </row>
    <row r="29" spans="1:11" x14ac:dyDescent="0.25">
      <c r="B29" s="51" t="s">
        <v>22</v>
      </c>
      <c r="C29" s="52">
        <f>C18+C28</f>
        <v>543643.0541666667</v>
      </c>
      <c r="D29" s="52">
        <f>D18+D28</f>
        <v>973353</v>
      </c>
      <c r="E29" s="52">
        <f>E18+E28</f>
        <v>238004.5326375</v>
      </c>
      <c r="F29" s="52">
        <f>F18+F28</f>
        <v>973353</v>
      </c>
      <c r="G29" s="52">
        <f>G18+G28</f>
        <v>610312.82789999992</v>
      </c>
      <c r="H29" s="52">
        <f>H18+H28</f>
        <v>238004.5326375</v>
      </c>
      <c r="I29" s="52">
        <f>I18+I28</f>
        <v>0</v>
      </c>
      <c r="J29" s="52">
        <f>J18+J28</f>
        <v>719124.44791999995</v>
      </c>
    </row>
    <row r="30" spans="1:11" ht="15.75" thickBot="1" x14ac:dyDescent="0.3">
      <c r="B30" s="38" t="s">
        <v>51</v>
      </c>
      <c r="C30" s="39">
        <f>C29*1.1</f>
        <v>598007.35958333337</v>
      </c>
      <c r="D30" s="39">
        <f>D29*1.1</f>
        <v>1070688.3</v>
      </c>
      <c r="E30" s="39">
        <f>E29*1.1</f>
        <v>261804.98590125001</v>
      </c>
      <c r="F30" s="39">
        <f>F29*1.1</f>
        <v>1070688.3</v>
      </c>
      <c r="G30" s="39">
        <f>G29*1.1</f>
        <v>671344.11069</v>
      </c>
      <c r="H30" s="39">
        <f>H29*1.1</f>
        <v>261804.98590125001</v>
      </c>
      <c r="I30" s="39">
        <f>I29*1.1</f>
        <v>0</v>
      </c>
      <c r="J30" s="39">
        <f>J29*1.1</f>
        <v>791036.89271200006</v>
      </c>
    </row>
    <row r="31" spans="1:11" ht="15.75" thickBot="1" x14ac:dyDescent="0.3">
      <c r="B31" s="51" t="s">
        <v>42</v>
      </c>
      <c r="C31" s="83">
        <f>C30+D30</f>
        <v>1668695.6595833334</v>
      </c>
      <c r="D31" s="84"/>
      <c r="E31" s="83">
        <f>SUM(E30:G30)</f>
        <v>2003837.3965912501</v>
      </c>
      <c r="F31" s="85"/>
      <c r="G31" s="84"/>
      <c r="H31" s="83">
        <f>SUM(H30:J30)</f>
        <v>1052841.8786132501</v>
      </c>
      <c r="I31" s="85"/>
      <c r="J31" s="84"/>
    </row>
    <row r="32" spans="1:11" ht="15.75" thickBot="1" x14ac:dyDescent="0.3">
      <c r="B32" s="38"/>
    </row>
    <row r="33" spans="2:16" x14ac:dyDescent="0.25">
      <c r="B33" s="38" t="s">
        <v>52</v>
      </c>
      <c r="C33" s="63">
        <v>0</v>
      </c>
      <c r="D33" s="77"/>
      <c r="E33" s="74">
        <v>5001468</v>
      </c>
      <c r="F33" s="64"/>
      <c r="G33" s="71"/>
      <c r="H33" s="80">
        <v>10497533</v>
      </c>
      <c r="I33" s="64"/>
      <c r="J33" s="65"/>
    </row>
    <row r="34" spans="2:16" x14ac:dyDescent="0.25">
      <c r="B34" s="38" t="s">
        <v>53</v>
      </c>
      <c r="C34" s="66">
        <v>0</v>
      </c>
      <c r="D34" s="78"/>
      <c r="E34" s="75"/>
      <c r="F34" s="57"/>
      <c r="G34" s="72"/>
      <c r="H34" s="81">
        <v>1100000</v>
      </c>
      <c r="I34" s="57"/>
      <c r="J34" s="67"/>
    </row>
    <row r="35" spans="2:16" x14ac:dyDescent="0.25">
      <c r="B35" s="38" t="s">
        <v>54</v>
      </c>
      <c r="C35" s="66">
        <v>0</v>
      </c>
      <c r="D35" s="78"/>
      <c r="E35" s="75"/>
      <c r="F35" s="57"/>
      <c r="G35" s="72"/>
      <c r="H35" s="81">
        <v>3000000</v>
      </c>
      <c r="I35" s="57"/>
      <c r="J35" s="67"/>
      <c r="K35" s="2" t="s">
        <v>71</v>
      </c>
    </row>
    <row r="36" spans="2:16" x14ac:dyDescent="0.25">
      <c r="B36" s="38" t="s">
        <v>55</v>
      </c>
      <c r="C36" s="66">
        <v>0</v>
      </c>
      <c r="D36" s="78"/>
      <c r="E36" s="75">
        <f>E33-E34-E35</f>
        <v>5001468</v>
      </c>
      <c r="F36" s="57"/>
      <c r="G36" s="72"/>
      <c r="H36" s="81">
        <f>H33-H34-H35</f>
        <v>6397533</v>
      </c>
      <c r="I36" s="57"/>
      <c r="J36" s="67"/>
    </row>
    <row r="37" spans="2:16" x14ac:dyDescent="0.25">
      <c r="B37" s="38" t="s">
        <v>56</v>
      </c>
      <c r="C37" s="66">
        <v>0</v>
      </c>
      <c r="D37" s="78"/>
      <c r="E37" s="75">
        <f>'Debt Pmnt Schedule'!E4*-1</f>
        <v>363351.20605230355</v>
      </c>
      <c r="F37" s="57"/>
      <c r="G37" s="72"/>
      <c r="H37" s="81">
        <f>'Debt Pmnt Schedule'!I4*-1</f>
        <v>464773.8086716563</v>
      </c>
      <c r="I37" s="57"/>
      <c r="J37" s="67"/>
      <c r="K37" s="38" t="s">
        <v>91</v>
      </c>
    </row>
    <row r="38" spans="2:16" ht="15.75" thickBot="1" x14ac:dyDescent="0.3">
      <c r="B38" s="38" t="s">
        <v>57</v>
      </c>
      <c r="C38" s="68">
        <v>0</v>
      </c>
      <c r="D38" s="79"/>
      <c r="E38" s="76">
        <f>E37*5</f>
        <v>1816756.0302615177</v>
      </c>
      <c r="F38" s="69"/>
      <c r="G38" s="73"/>
      <c r="H38" s="82">
        <f>H37*5</f>
        <v>2323869.0433582813</v>
      </c>
      <c r="I38" s="69"/>
      <c r="J38" s="70"/>
    </row>
    <row r="39" spans="2:16" ht="15.75" thickBot="1" x14ac:dyDescent="0.3"/>
    <row r="40" spans="2:16" ht="15.75" thickBot="1" x14ac:dyDescent="0.3">
      <c r="B40" s="38" t="s">
        <v>58</v>
      </c>
      <c r="C40" s="58">
        <f>C31+C38</f>
        <v>1668695.6595833334</v>
      </c>
      <c r="D40" s="59"/>
      <c r="E40" s="60">
        <f>E38+E31</f>
        <v>3820593.4268527678</v>
      </c>
      <c r="F40" s="61"/>
      <c r="G40" s="61"/>
      <c r="H40" s="60">
        <f>H38+H31</f>
        <v>3376710.9219715316</v>
      </c>
      <c r="I40" s="61"/>
      <c r="J40" s="62"/>
    </row>
    <row r="41" spans="2:16" ht="15.75" thickBot="1" x14ac:dyDescent="0.3"/>
    <row r="42" spans="2:16" ht="15.75" thickBot="1" x14ac:dyDescent="0.3">
      <c r="B42" s="38" t="s">
        <v>85</v>
      </c>
      <c r="C42" s="94">
        <f>C40-C40</f>
        <v>0</v>
      </c>
      <c r="D42" s="95"/>
      <c r="E42" s="96">
        <f>E40-C40</f>
        <v>2151897.7672694344</v>
      </c>
      <c r="F42" s="97"/>
      <c r="G42" s="95"/>
      <c r="H42" s="96">
        <f>H40-C40</f>
        <v>1708015.2623881982</v>
      </c>
      <c r="I42" s="97"/>
      <c r="J42" s="95"/>
    </row>
    <row r="43" spans="2:16" ht="15.75" thickBot="1" x14ac:dyDescent="0.3"/>
    <row r="44" spans="2:16" ht="15.75" thickBot="1" x14ac:dyDescent="0.3">
      <c r="B44" s="2" t="s">
        <v>90</v>
      </c>
      <c r="C44" s="94">
        <f>C42-C42</f>
        <v>0</v>
      </c>
      <c r="D44" s="95"/>
      <c r="E44" s="96">
        <f>E42/5</f>
        <v>430379.55345388688</v>
      </c>
      <c r="F44" s="97"/>
      <c r="G44" s="95"/>
      <c r="H44" s="96">
        <f>H42/5</f>
        <v>341603.05247763963</v>
      </c>
      <c r="I44" s="97"/>
      <c r="J44" s="95"/>
    </row>
    <row r="45" spans="2:16" x14ac:dyDescent="0.25">
      <c r="O45" s="2" t="s">
        <v>59</v>
      </c>
      <c r="P45" s="2" t="s">
        <v>60</v>
      </c>
    </row>
    <row r="46" spans="2:16" x14ac:dyDescent="0.25">
      <c r="O46" s="2">
        <v>30</v>
      </c>
      <c r="P46" s="2">
        <v>0.06</v>
      </c>
    </row>
  </sheetData>
  <mergeCells count="39">
    <mergeCell ref="H42:J42"/>
    <mergeCell ref="E42:G42"/>
    <mergeCell ref="C42:D42"/>
    <mergeCell ref="C44:D44"/>
    <mergeCell ref="E44:G44"/>
    <mergeCell ref="H44:J44"/>
    <mergeCell ref="C40:D40"/>
    <mergeCell ref="E40:G40"/>
    <mergeCell ref="H40:J40"/>
    <mergeCell ref="C2:D2"/>
    <mergeCell ref="E2:G2"/>
    <mergeCell ref="H2:J2"/>
    <mergeCell ref="C37:D37"/>
    <mergeCell ref="E37:G37"/>
    <mergeCell ref="H37:J37"/>
    <mergeCell ref="E38:G38"/>
    <mergeCell ref="H38:J38"/>
    <mergeCell ref="C38:D38"/>
    <mergeCell ref="C35:D35"/>
    <mergeCell ref="E35:G35"/>
    <mergeCell ref="H35:J35"/>
    <mergeCell ref="C36:D36"/>
    <mergeCell ref="E36:G36"/>
    <mergeCell ref="H36:J36"/>
    <mergeCell ref="C33:D33"/>
    <mergeCell ref="E33:G33"/>
    <mergeCell ref="H33:J33"/>
    <mergeCell ref="C34:D34"/>
    <mergeCell ref="E34:G34"/>
    <mergeCell ref="H34:J34"/>
    <mergeCell ref="C3:D3"/>
    <mergeCell ref="A5:A17"/>
    <mergeCell ref="A19:A27"/>
    <mergeCell ref="C1:J1"/>
    <mergeCell ref="C31:D31"/>
    <mergeCell ref="H31:J31"/>
    <mergeCell ref="E31:G31"/>
    <mergeCell ref="H3:J3"/>
    <mergeCell ref="E3:G3"/>
  </mergeCells>
  <pageMargins left="0.25" right="0.25" top="0.75" bottom="0.75" header="0.3" footer="0.3"/>
  <pageSetup paperSize="5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9116-4376-44EE-86FA-F565E48144E2}">
  <sheetPr>
    <pageSetUpPr fitToPage="1"/>
  </sheetPr>
  <dimension ref="A1:V44"/>
  <sheetViews>
    <sheetView topLeftCell="A22" workbookViewId="0">
      <selection activeCell="F49" sqref="F49"/>
    </sheetView>
  </sheetViews>
  <sheetFormatPr defaultRowHeight="15" x14ac:dyDescent="0.25"/>
  <cols>
    <col min="1" max="1" width="5.42578125" style="2" customWidth="1"/>
    <col min="2" max="2" width="31.140625" style="2" bestFit="1" customWidth="1"/>
    <col min="3" max="4" width="14.5703125" style="2" customWidth="1"/>
    <col min="5" max="5" width="12.5703125" style="2" bestFit="1" customWidth="1"/>
    <col min="6" max="6" width="14.28515625" style="2" bestFit="1" customWidth="1"/>
    <col min="7" max="7" width="12.5703125" style="2" bestFit="1" customWidth="1"/>
    <col min="8" max="8" width="16.28515625" style="2" bestFit="1" customWidth="1"/>
    <col min="9" max="9" width="9" style="2" bestFit="1" customWidth="1"/>
    <col min="10" max="10" width="12.5703125" style="2" bestFit="1" customWidth="1"/>
    <col min="11" max="11" width="16.28515625" style="2" bestFit="1" customWidth="1"/>
    <col min="12" max="12" width="14.28515625" style="2" bestFit="1" customWidth="1"/>
    <col min="13" max="13" width="12.5703125" style="2" bestFit="1" customWidth="1"/>
    <col min="14" max="14" width="16.28515625" style="2" hidden="1" customWidth="1"/>
    <col min="15" max="15" width="9" style="2" hidden="1" customWidth="1"/>
    <col min="16" max="16" width="12.5703125" style="2" hidden="1" customWidth="1"/>
    <col min="17" max="16384" width="9.140625" style="2"/>
  </cols>
  <sheetData>
    <row r="1" spans="1:17" ht="15" customHeight="1" thickBot="1" x14ac:dyDescent="0.3">
      <c r="B1" s="2" t="s">
        <v>0</v>
      </c>
      <c r="C1" s="40" t="s">
        <v>27</v>
      </c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</row>
    <row r="2" spans="1:17" ht="15" customHeight="1" thickBot="1" x14ac:dyDescent="0.3">
      <c r="C2" s="25" t="s">
        <v>86</v>
      </c>
      <c r="D2" s="26"/>
      <c r="E2" s="35" t="s">
        <v>82</v>
      </c>
      <c r="F2" s="36"/>
      <c r="G2" s="37"/>
      <c r="H2" s="35" t="s">
        <v>83</v>
      </c>
      <c r="I2" s="36"/>
      <c r="J2" s="37"/>
      <c r="K2" s="35" t="s">
        <v>84</v>
      </c>
      <c r="L2" s="36"/>
      <c r="M2" s="37"/>
      <c r="N2" s="3"/>
      <c r="O2" s="3"/>
      <c r="P2" s="3"/>
    </row>
    <row r="3" spans="1:17" ht="15" customHeight="1" x14ac:dyDescent="0.25">
      <c r="C3" s="25" t="s">
        <v>50</v>
      </c>
      <c r="D3" s="26"/>
      <c r="E3" s="35" t="s">
        <v>3</v>
      </c>
      <c r="F3" s="36"/>
      <c r="G3" s="37"/>
      <c r="H3" s="35" t="s">
        <v>4</v>
      </c>
      <c r="I3" s="36"/>
      <c r="J3" s="37"/>
      <c r="K3" s="35" t="s">
        <v>61</v>
      </c>
      <c r="L3" s="36"/>
      <c r="M3" s="37"/>
      <c r="N3" s="35" t="s">
        <v>4</v>
      </c>
      <c r="O3" s="36"/>
      <c r="P3" s="37"/>
    </row>
    <row r="4" spans="1:17" ht="15.75" thickBot="1" x14ac:dyDescent="0.3">
      <c r="C4" s="27" t="s">
        <v>1</v>
      </c>
      <c r="D4" s="28" t="s">
        <v>2</v>
      </c>
      <c r="E4" s="27" t="s">
        <v>1</v>
      </c>
      <c r="F4" s="2" t="s">
        <v>2</v>
      </c>
      <c r="G4" s="28" t="s">
        <v>5</v>
      </c>
      <c r="H4" s="27" t="s">
        <v>1</v>
      </c>
      <c r="I4" s="2" t="s">
        <v>2</v>
      </c>
      <c r="J4" s="28" t="s">
        <v>5</v>
      </c>
      <c r="K4" s="27" t="s">
        <v>1</v>
      </c>
      <c r="L4" s="2" t="s">
        <v>2</v>
      </c>
      <c r="M4" s="28" t="s">
        <v>5</v>
      </c>
      <c r="N4" s="27" t="s">
        <v>1</v>
      </c>
      <c r="O4" s="2" t="s">
        <v>2</v>
      </c>
      <c r="P4" s="28" t="s">
        <v>5</v>
      </c>
    </row>
    <row r="5" spans="1:17" ht="15.75" thickBot="1" x14ac:dyDescent="0.3">
      <c r="A5" s="4" t="s">
        <v>19</v>
      </c>
      <c r="B5" s="13" t="s">
        <v>7</v>
      </c>
      <c r="C5" s="29">
        <v>15000</v>
      </c>
      <c r="D5" s="9"/>
      <c r="E5" s="29">
        <f>C5</f>
        <v>15000</v>
      </c>
      <c r="F5" s="8">
        <v>0</v>
      </c>
      <c r="G5" s="9">
        <v>0</v>
      </c>
      <c r="H5" s="29">
        <f>E5</f>
        <v>15000</v>
      </c>
      <c r="I5" s="8">
        <v>0</v>
      </c>
      <c r="J5" s="9">
        <v>0</v>
      </c>
      <c r="K5" s="29">
        <v>0</v>
      </c>
      <c r="L5" s="8">
        <f>F5</f>
        <v>0</v>
      </c>
      <c r="M5" s="9">
        <v>0</v>
      </c>
      <c r="N5" s="29">
        <f>K5</f>
        <v>0</v>
      </c>
      <c r="O5" s="8">
        <v>0</v>
      </c>
      <c r="P5" s="9">
        <v>0</v>
      </c>
      <c r="Q5" s="2" t="s">
        <v>32</v>
      </c>
    </row>
    <row r="6" spans="1:17" ht="15.75" thickBot="1" x14ac:dyDescent="0.3">
      <c r="A6" s="4"/>
      <c r="B6" s="14" t="s">
        <v>8</v>
      </c>
      <c r="C6" s="30">
        <f>41666.6666666667*3</f>
        <v>125000.0000000001</v>
      </c>
      <c r="D6" s="10">
        <v>250000</v>
      </c>
      <c r="E6" s="30">
        <f>C6</f>
        <v>125000.0000000001</v>
      </c>
      <c r="F6" s="5">
        <f>D6</f>
        <v>250000</v>
      </c>
      <c r="G6" s="10">
        <v>0</v>
      </c>
      <c r="H6" s="30">
        <f>E6</f>
        <v>125000.0000000001</v>
      </c>
      <c r="I6" s="5">
        <v>0</v>
      </c>
      <c r="J6" s="10">
        <v>0</v>
      </c>
      <c r="K6" s="30">
        <v>0</v>
      </c>
      <c r="L6" s="8">
        <f t="shared" ref="L6:L28" si="0">F6</f>
        <v>250000</v>
      </c>
      <c r="M6" s="10">
        <v>0</v>
      </c>
      <c r="N6" s="30">
        <f>K6</f>
        <v>0</v>
      </c>
      <c r="O6" s="5">
        <v>0</v>
      </c>
      <c r="P6" s="10">
        <v>0</v>
      </c>
      <c r="Q6" s="2" t="s">
        <v>31</v>
      </c>
    </row>
    <row r="7" spans="1:17" ht="15.75" thickBot="1" x14ac:dyDescent="0.3">
      <c r="A7" s="4"/>
      <c r="B7" s="14" t="s">
        <v>9</v>
      </c>
      <c r="C7" s="30">
        <v>4000</v>
      </c>
      <c r="D7" s="10">
        <v>12000</v>
      </c>
      <c r="E7" s="30">
        <f>C7</f>
        <v>4000</v>
      </c>
      <c r="F7" s="5">
        <f>D7</f>
        <v>12000</v>
      </c>
      <c r="G7" s="10">
        <v>1000</v>
      </c>
      <c r="H7" s="30">
        <f>E7</f>
        <v>4000</v>
      </c>
      <c r="I7" s="5">
        <v>0</v>
      </c>
      <c r="J7" s="10">
        <v>1000</v>
      </c>
      <c r="K7" s="30">
        <v>0</v>
      </c>
      <c r="L7" s="8">
        <f t="shared" si="0"/>
        <v>12000</v>
      </c>
      <c r="M7" s="10">
        <v>1000</v>
      </c>
      <c r="N7" s="30">
        <f>K7</f>
        <v>0</v>
      </c>
      <c r="O7" s="5">
        <v>0</v>
      </c>
      <c r="P7" s="10">
        <v>1000</v>
      </c>
      <c r="Q7" s="2" t="s">
        <v>30</v>
      </c>
    </row>
    <row r="8" spans="1:17" ht="15.75" thickBot="1" x14ac:dyDescent="0.3">
      <c r="A8" s="4"/>
      <c r="B8" s="14" t="s">
        <v>10</v>
      </c>
      <c r="C8" s="30">
        <f>2400*3</f>
        <v>7200</v>
      </c>
      <c r="D8" s="10">
        <v>8500</v>
      </c>
      <c r="E8" s="30">
        <f>C8*0.66</f>
        <v>4752</v>
      </c>
      <c r="F8" s="5">
        <f>D8</f>
        <v>8500</v>
      </c>
      <c r="G8" s="10">
        <v>0</v>
      </c>
      <c r="H8" s="30">
        <f>E8</f>
        <v>4752</v>
      </c>
      <c r="I8" s="5">
        <v>0</v>
      </c>
      <c r="J8" s="10">
        <v>0</v>
      </c>
      <c r="K8" s="30">
        <v>0</v>
      </c>
      <c r="L8" s="8">
        <f t="shared" si="0"/>
        <v>8500</v>
      </c>
      <c r="M8" s="10">
        <v>1000</v>
      </c>
      <c r="N8" s="30">
        <f>K8</f>
        <v>0</v>
      </c>
      <c r="O8" s="5">
        <v>0</v>
      </c>
      <c r="P8" s="10">
        <v>0</v>
      </c>
      <c r="Q8" s="38" t="s">
        <v>36</v>
      </c>
    </row>
    <row r="9" spans="1:17" ht="15.75" thickBot="1" x14ac:dyDescent="0.3">
      <c r="A9" s="4"/>
      <c r="B9" s="14" t="s">
        <v>81</v>
      </c>
      <c r="C9" s="30">
        <v>12500</v>
      </c>
      <c r="D9" s="10">
        <v>12500</v>
      </c>
      <c r="E9" s="30"/>
      <c r="F9" s="5">
        <v>12500</v>
      </c>
      <c r="G9" s="10">
        <v>12500</v>
      </c>
      <c r="H9" s="30"/>
      <c r="I9" s="5"/>
      <c r="J9" s="10">
        <v>12500</v>
      </c>
      <c r="K9" s="30"/>
      <c r="L9" s="8">
        <v>12500</v>
      </c>
      <c r="M9" s="10">
        <v>12500</v>
      </c>
      <c r="N9" s="30"/>
      <c r="O9" s="5"/>
      <c r="P9" s="10"/>
      <c r="Q9" s="38"/>
    </row>
    <row r="10" spans="1:17" ht="15.75" thickBot="1" x14ac:dyDescent="0.3">
      <c r="A10" s="4"/>
      <c r="B10" s="56" t="s">
        <v>29</v>
      </c>
      <c r="C10" s="53">
        <v>202000</v>
      </c>
      <c r="D10" s="54">
        <v>132000</v>
      </c>
      <c r="E10" s="53">
        <v>0</v>
      </c>
      <c r="F10" s="55">
        <f>D10</f>
        <v>132000</v>
      </c>
      <c r="G10" s="54">
        <v>202000</v>
      </c>
      <c r="H10" s="30">
        <f>E10</f>
        <v>0</v>
      </c>
      <c r="I10" s="5">
        <v>0</v>
      </c>
      <c r="J10" s="10">
        <v>202000</v>
      </c>
      <c r="K10" s="30">
        <v>0</v>
      </c>
      <c r="L10" s="8">
        <f t="shared" si="0"/>
        <v>132000</v>
      </c>
      <c r="M10" s="10">
        <v>202000</v>
      </c>
      <c r="N10" s="30">
        <f>K10</f>
        <v>0</v>
      </c>
      <c r="O10" s="5">
        <v>0</v>
      </c>
      <c r="P10" s="10">
        <v>202000</v>
      </c>
      <c r="Q10" s="38" t="s">
        <v>35</v>
      </c>
    </row>
    <row r="11" spans="1:17" ht="15.75" thickBot="1" x14ac:dyDescent="0.3">
      <c r="A11" s="4"/>
      <c r="B11" s="14" t="s">
        <v>11</v>
      </c>
      <c r="C11" s="53">
        <f>112507*3</f>
        <v>337521</v>
      </c>
      <c r="D11" s="54">
        <v>120000</v>
      </c>
      <c r="E11" s="53">
        <f>C11*0.8</f>
        <v>270016.8</v>
      </c>
      <c r="F11" s="55">
        <f>D11</f>
        <v>120000</v>
      </c>
      <c r="G11" s="54">
        <v>10000</v>
      </c>
      <c r="H11" s="30">
        <f>E11</f>
        <v>270016.8</v>
      </c>
      <c r="I11" s="5">
        <v>0</v>
      </c>
      <c r="J11" s="10">
        <v>15000</v>
      </c>
      <c r="K11" s="30">
        <v>0</v>
      </c>
      <c r="L11" s="8">
        <f t="shared" si="0"/>
        <v>120000</v>
      </c>
      <c r="M11" s="10">
        <v>12000</v>
      </c>
      <c r="N11" s="30">
        <f>K11</f>
        <v>0</v>
      </c>
      <c r="O11" s="5">
        <v>0</v>
      </c>
      <c r="P11" s="10">
        <v>15000</v>
      </c>
      <c r="Q11" s="38" t="s">
        <v>49</v>
      </c>
    </row>
    <row r="12" spans="1:17" ht="15.75" thickBot="1" x14ac:dyDescent="0.3">
      <c r="A12" s="4"/>
      <c r="B12" s="56" t="s">
        <v>28</v>
      </c>
      <c r="C12" s="53">
        <v>53000</v>
      </c>
      <c r="D12" s="54">
        <v>53000</v>
      </c>
      <c r="E12" s="53">
        <f>C12*0.8</f>
        <v>42400</v>
      </c>
      <c r="F12" s="55">
        <f>D12</f>
        <v>53000</v>
      </c>
      <c r="G12" s="54">
        <v>500</v>
      </c>
      <c r="H12" s="30">
        <v>53000</v>
      </c>
      <c r="I12" s="5">
        <v>0</v>
      </c>
      <c r="J12" s="10">
        <v>1000</v>
      </c>
      <c r="K12" s="30">
        <v>0</v>
      </c>
      <c r="L12" s="8">
        <f t="shared" si="0"/>
        <v>53000</v>
      </c>
      <c r="M12" s="10">
        <v>1000</v>
      </c>
      <c r="N12" s="30">
        <f>K12</f>
        <v>0</v>
      </c>
      <c r="O12" s="5">
        <v>0</v>
      </c>
      <c r="P12" s="10">
        <v>1000</v>
      </c>
    </row>
    <row r="13" spans="1:17" ht="15.75" thickBot="1" x14ac:dyDescent="0.3">
      <c r="A13" s="4"/>
      <c r="B13" s="87" t="s">
        <v>64</v>
      </c>
      <c r="C13" s="53">
        <v>25000</v>
      </c>
      <c r="D13" s="88">
        <v>60000</v>
      </c>
      <c r="E13" s="53">
        <v>10000</v>
      </c>
      <c r="F13" s="89">
        <f>D13</f>
        <v>60000</v>
      </c>
      <c r="G13" s="54"/>
      <c r="H13" s="30">
        <v>10000</v>
      </c>
      <c r="I13" s="5"/>
      <c r="J13" s="10"/>
      <c r="K13" s="30"/>
      <c r="L13" s="93">
        <f t="shared" si="0"/>
        <v>60000</v>
      </c>
      <c r="M13" s="10"/>
      <c r="N13" s="30"/>
      <c r="O13" s="5"/>
      <c r="P13" s="10"/>
    </row>
    <row r="14" spans="1:17" ht="15.75" thickBot="1" x14ac:dyDescent="0.3">
      <c r="A14" s="4"/>
      <c r="B14" s="14" t="s">
        <v>12</v>
      </c>
      <c r="C14" s="30">
        <v>26000</v>
      </c>
      <c r="D14" s="10">
        <v>3600</v>
      </c>
      <c r="E14" s="30">
        <v>20000</v>
      </c>
      <c r="F14" s="5">
        <f>D14</f>
        <v>3600</v>
      </c>
      <c r="G14" s="10">
        <v>6000</v>
      </c>
      <c r="H14" s="30">
        <v>20000</v>
      </c>
      <c r="I14" s="5">
        <v>0</v>
      </c>
      <c r="J14" s="10">
        <f>F14+G14</f>
        <v>9600</v>
      </c>
      <c r="K14" s="30">
        <v>0</v>
      </c>
      <c r="L14" s="8">
        <f t="shared" si="0"/>
        <v>3600</v>
      </c>
      <c r="M14" s="10">
        <v>26000</v>
      </c>
      <c r="N14" s="30">
        <v>0</v>
      </c>
      <c r="O14" s="5">
        <v>0</v>
      </c>
      <c r="P14" s="10">
        <f>L14+M14</f>
        <v>29600</v>
      </c>
      <c r="Q14" s="38" t="s">
        <v>37</v>
      </c>
    </row>
    <row r="15" spans="1:17" ht="15.75" thickBot="1" x14ac:dyDescent="0.3">
      <c r="A15" s="4"/>
      <c r="B15" s="14" t="s">
        <v>13</v>
      </c>
      <c r="C15" s="30">
        <f>833.333333333333*3</f>
        <v>2499.9999999999991</v>
      </c>
      <c r="D15" s="10">
        <v>1500</v>
      </c>
      <c r="E15" s="30">
        <f>C15</f>
        <v>2499.9999999999991</v>
      </c>
      <c r="F15" s="5">
        <f>D15</f>
        <v>1500</v>
      </c>
      <c r="G15" s="10">
        <v>2000</v>
      </c>
      <c r="H15" s="30">
        <f>E15</f>
        <v>2499.9999999999991</v>
      </c>
      <c r="I15" s="5">
        <v>0</v>
      </c>
      <c r="J15" s="10">
        <v>2500</v>
      </c>
      <c r="K15" s="30">
        <v>0</v>
      </c>
      <c r="L15" s="8">
        <f t="shared" si="0"/>
        <v>1500</v>
      </c>
      <c r="M15" s="10">
        <v>3500</v>
      </c>
      <c r="N15" s="30">
        <f>K15</f>
        <v>0</v>
      </c>
      <c r="O15" s="5">
        <v>0</v>
      </c>
      <c r="P15" s="10">
        <v>2500</v>
      </c>
    </row>
    <row r="16" spans="1:17" ht="15.75" thickBot="1" x14ac:dyDescent="0.3">
      <c r="A16" s="4"/>
      <c r="B16" s="15" t="s">
        <v>15</v>
      </c>
      <c r="C16" s="31">
        <v>7500</v>
      </c>
      <c r="D16" s="12">
        <v>13000</v>
      </c>
      <c r="E16" s="41">
        <f>C16*0.8</f>
        <v>6000</v>
      </c>
      <c r="F16" s="6">
        <f>D16</f>
        <v>13000</v>
      </c>
      <c r="G16" s="42">
        <v>2000</v>
      </c>
      <c r="H16" s="41">
        <f>E16</f>
        <v>6000</v>
      </c>
      <c r="I16" s="6">
        <v>0</v>
      </c>
      <c r="J16" s="42">
        <v>3000</v>
      </c>
      <c r="K16" s="41">
        <v>0</v>
      </c>
      <c r="L16" s="8">
        <f t="shared" si="0"/>
        <v>13000</v>
      </c>
      <c r="M16" s="42">
        <v>2500</v>
      </c>
      <c r="N16" s="41">
        <f>K16</f>
        <v>0</v>
      </c>
      <c r="O16" s="6">
        <v>0</v>
      </c>
      <c r="P16" s="42">
        <v>3000</v>
      </c>
      <c r="Q16" s="2" t="s">
        <v>39</v>
      </c>
    </row>
    <row r="17" spans="1:17" ht="15.75" thickBot="1" x14ac:dyDescent="0.3">
      <c r="B17" s="16" t="s">
        <v>21</v>
      </c>
      <c r="C17" s="32">
        <f>SUM(C5:C16)</f>
        <v>817221.00000000012</v>
      </c>
      <c r="D17" s="21">
        <f>SUM(D5:D16)</f>
        <v>666100</v>
      </c>
      <c r="E17" s="47">
        <f>SUM(E5:E16)</f>
        <v>499668.8000000001</v>
      </c>
      <c r="F17" s="48">
        <f>SUM(F5:F16)</f>
        <v>666100</v>
      </c>
      <c r="G17" s="49">
        <f>SUM(G5:G16)</f>
        <v>236000</v>
      </c>
      <c r="H17" s="44">
        <f>SUM(H5:H16)</f>
        <v>510268.8000000001</v>
      </c>
      <c r="I17" s="45">
        <f>SUM(I5:I16)</f>
        <v>0</v>
      </c>
      <c r="J17" s="46">
        <f>SUM(J5:J16)</f>
        <v>246600</v>
      </c>
      <c r="K17" s="44">
        <f>SUM(K5:K16)</f>
        <v>0</v>
      </c>
      <c r="L17" s="8">
        <f t="shared" si="0"/>
        <v>666100</v>
      </c>
      <c r="M17" s="46">
        <f>SUM(M5:M16)</f>
        <v>261500</v>
      </c>
      <c r="N17" s="44">
        <f>SUM(N5:N16)</f>
        <v>0</v>
      </c>
      <c r="O17" s="45">
        <f>SUM(O5:O16)</f>
        <v>0</v>
      </c>
      <c r="P17" s="46">
        <f>SUM(P5:P16)</f>
        <v>254100</v>
      </c>
    </row>
    <row r="18" spans="1:17" ht="15.75" thickBot="1" x14ac:dyDescent="0.3">
      <c r="A18" s="4" t="s">
        <v>20</v>
      </c>
      <c r="B18" s="13" t="s">
        <v>16</v>
      </c>
      <c r="C18" s="29">
        <f>(12700+3055)*2</f>
        <v>31510</v>
      </c>
      <c r="D18" s="18">
        <f>(15543+11741)*2</f>
        <v>54568</v>
      </c>
      <c r="E18" s="29">
        <f>C18</f>
        <v>31510</v>
      </c>
      <c r="F18" s="50">
        <f>D18</f>
        <v>54568</v>
      </c>
      <c r="G18" s="9">
        <f>J18*0.75</f>
        <v>63994.5</v>
      </c>
      <c r="H18" s="24">
        <f>E18</f>
        <v>31510</v>
      </c>
      <c r="I18" s="7">
        <v>0</v>
      </c>
      <c r="J18" s="43">
        <f>(41961+43365)</f>
        <v>85326</v>
      </c>
      <c r="K18" s="24">
        <v>0</v>
      </c>
      <c r="L18" s="8">
        <f t="shared" si="0"/>
        <v>54568</v>
      </c>
      <c r="M18" s="43">
        <f>(41961+43365)</f>
        <v>85326</v>
      </c>
      <c r="N18" s="24">
        <f>K18</f>
        <v>0</v>
      </c>
      <c r="O18" s="7">
        <v>0</v>
      </c>
      <c r="P18" s="43">
        <f>(41961+43365)</f>
        <v>85326</v>
      </c>
      <c r="Q18" s="2" t="s">
        <v>34</v>
      </c>
    </row>
    <row r="19" spans="1:17" ht="15.75" thickBot="1" x14ac:dyDescent="0.3">
      <c r="A19" s="4"/>
      <c r="B19" s="14" t="s">
        <v>17</v>
      </c>
      <c r="C19" s="30">
        <v>5000</v>
      </c>
      <c r="D19" s="19">
        <v>0</v>
      </c>
      <c r="E19" s="30">
        <f>C19</f>
        <v>5000</v>
      </c>
      <c r="F19" s="5">
        <v>0</v>
      </c>
      <c r="G19" s="10">
        <v>2000</v>
      </c>
      <c r="H19" s="22">
        <f>E19</f>
        <v>5000</v>
      </c>
      <c r="I19" s="5">
        <v>0</v>
      </c>
      <c r="J19" s="10">
        <v>3000</v>
      </c>
      <c r="K19" s="22">
        <v>0</v>
      </c>
      <c r="L19" s="8">
        <f t="shared" si="0"/>
        <v>0</v>
      </c>
      <c r="M19" s="10">
        <v>2000</v>
      </c>
      <c r="N19" s="22">
        <f>K19</f>
        <v>0</v>
      </c>
      <c r="O19" s="5">
        <v>0</v>
      </c>
      <c r="P19" s="10">
        <v>0</v>
      </c>
      <c r="Q19" s="2" t="s">
        <v>33</v>
      </c>
    </row>
    <row r="20" spans="1:17" ht="15.75" thickBot="1" x14ac:dyDescent="0.3">
      <c r="A20" s="4"/>
      <c r="B20" s="14" t="s">
        <v>41</v>
      </c>
      <c r="C20" s="30">
        <f>(240+1200+680+3400+7800)*2.5</f>
        <v>33300</v>
      </c>
      <c r="D20" s="19">
        <f>(2700+850+11785+1500+850+20000)*2.5</f>
        <v>94212.5</v>
      </c>
      <c r="E20" s="30">
        <f>C20</f>
        <v>33300</v>
      </c>
      <c r="F20" s="5">
        <f>D20</f>
        <v>94212.5</v>
      </c>
      <c r="G20" s="10">
        <f>74000*2.5</f>
        <v>185000</v>
      </c>
      <c r="H20" s="22">
        <f>E20</f>
        <v>33300</v>
      </c>
      <c r="I20" s="5">
        <v>0</v>
      </c>
      <c r="J20" s="10">
        <f>G20</f>
        <v>185000</v>
      </c>
      <c r="K20" s="22">
        <v>0</v>
      </c>
      <c r="L20" s="8">
        <f t="shared" si="0"/>
        <v>94212.5</v>
      </c>
      <c r="M20" s="10">
        <f>J20</f>
        <v>185000</v>
      </c>
      <c r="N20" s="22">
        <f>K20</f>
        <v>0</v>
      </c>
      <c r="O20" s="5">
        <v>0</v>
      </c>
      <c r="P20" s="10">
        <f>M20</f>
        <v>185000</v>
      </c>
      <c r="Q20" s="38" t="s">
        <v>40</v>
      </c>
    </row>
    <row r="21" spans="1:17" ht="15.75" thickBot="1" x14ac:dyDescent="0.3">
      <c r="A21" s="4"/>
      <c r="B21" s="14" t="s">
        <v>14</v>
      </c>
      <c r="C21" s="30">
        <f>800</f>
        <v>800</v>
      </c>
      <c r="D21" s="10">
        <v>6000</v>
      </c>
      <c r="E21" s="30">
        <f>C21</f>
        <v>800</v>
      </c>
      <c r="F21" s="5">
        <f>D21</f>
        <v>6000</v>
      </c>
      <c r="G21" s="10">
        <v>5000</v>
      </c>
      <c r="H21" s="30">
        <f>E21</f>
        <v>800</v>
      </c>
      <c r="I21" s="5">
        <v>0</v>
      </c>
      <c r="J21" s="10">
        <f>G21</f>
        <v>5000</v>
      </c>
      <c r="K21" s="30">
        <v>0</v>
      </c>
      <c r="L21" s="8">
        <f t="shared" ref="L21" si="1">F21</f>
        <v>6000</v>
      </c>
      <c r="M21" s="10">
        <f>J21</f>
        <v>5000</v>
      </c>
      <c r="N21" s="30">
        <f>K21</f>
        <v>0</v>
      </c>
      <c r="O21" s="5">
        <v>0</v>
      </c>
      <c r="P21" s="10">
        <f>M21</f>
        <v>5000</v>
      </c>
      <c r="Q21" s="2" t="s">
        <v>38</v>
      </c>
    </row>
    <row r="22" spans="1:17" ht="15.75" thickBot="1" x14ac:dyDescent="0.3">
      <c r="A22" s="4"/>
      <c r="B22" s="14" t="s">
        <v>23</v>
      </c>
      <c r="C22" s="30">
        <f>218.53*5*3</f>
        <v>3277.9500000000003</v>
      </c>
      <c r="D22" s="19">
        <f>667.05*5</f>
        <v>3335.25</v>
      </c>
      <c r="E22" s="30">
        <f>C22*0.75</f>
        <v>2458.4625000000001</v>
      </c>
      <c r="F22" s="5">
        <f>D22</f>
        <v>3335.25</v>
      </c>
      <c r="G22" s="10">
        <f>350*5</f>
        <v>1750</v>
      </c>
      <c r="H22" s="22">
        <f>E22</f>
        <v>2458.4625000000001</v>
      </c>
      <c r="I22" s="5">
        <v>0</v>
      </c>
      <c r="J22" s="10">
        <f>G22+F22</f>
        <v>5085.25</v>
      </c>
      <c r="K22" s="22">
        <v>0</v>
      </c>
      <c r="L22" s="8">
        <f t="shared" si="0"/>
        <v>3335.25</v>
      </c>
      <c r="M22" s="10">
        <v>3000</v>
      </c>
      <c r="N22" s="22">
        <f>K22</f>
        <v>0</v>
      </c>
      <c r="O22" s="5">
        <v>0</v>
      </c>
      <c r="P22" s="10">
        <f>M22+L22</f>
        <v>6335.25</v>
      </c>
      <c r="Q22" s="38" t="s">
        <v>43</v>
      </c>
    </row>
    <row r="23" spans="1:17" ht="15.75" thickBot="1" x14ac:dyDescent="0.3">
      <c r="A23" s="4"/>
      <c r="B23" s="14" t="s">
        <v>24</v>
      </c>
      <c r="C23" s="30">
        <f>135.51*5*1.25*3</f>
        <v>2540.8125</v>
      </c>
      <c r="D23" s="19">
        <f>403.1*5</f>
        <v>2015.5</v>
      </c>
      <c r="E23" s="30">
        <f>C23*0.75</f>
        <v>1905.609375</v>
      </c>
      <c r="F23" s="5">
        <f>D23</f>
        <v>2015.5</v>
      </c>
      <c r="G23" s="10">
        <f>250*5</f>
        <v>1250</v>
      </c>
      <c r="H23" s="22">
        <f>E23</f>
        <v>1905.609375</v>
      </c>
      <c r="I23" s="5">
        <v>0</v>
      </c>
      <c r="J23" s="10">
        <f>G23+F23</f>
        <v>3265.5</v>
      </c>
      <c r="K23" s="22">
        <v>0</v>
      </c>
      <c r="L23" s="8">
        <f t="shared" si="0"/>
        <v>2015.5</v>
      </c>
      <c r="M23" s="10">
        <v>4000</v>
      </c>
      <c r="N23" s="22">
        <f>K23</f>
        <v>0</v>
      </c>
      <c r="O23" s="5">
        <v>0</v>
      </c>
      <c r="P23" s="10">
        <f>M23+L23</f>
        <v>6015.5</v>
      </c>
      <c r="Q23" s="38" t="s">
        <v>44</v>
      </c>
    </row>
    <row r="24" spans="1:17" ht="15.75" thickBot="1" x14ac:dyDescent="0.3">
      <c r="A24" s="4"/>
      <c r="B24" s="14" t="s">
        <v>6</v>
      </c>
      <c r="C24" s="30">
        <f>3994.64*5*3</f>
        <v>59919.600000000006</v>
      </c>
      <c r="D24" s="19">
        <f>17432.87*5</f>
        <v>87164.349999999991</v>
      </c>
      <c r="E24" s="30">
        <f>C24*0.8</f>
        <v>47935.680000000008</v>
      </c>
      <c r="F24" s="5">
        <f>D24</f>
        <v>87164.349999999991</v>
      </c>
      <c r="G24" s="10">
        <f>569.7*12*5</f>
        <v>34182</v>
      </c>
      <c r="H24" s="22">
        <f>E24</f>
        <v>47935.680000000008</v>
      </c>
      <c r="I24" s="5">
        <v>0</v>
      </c>
      <c r="J24" s="10">
        <f>1111.56*12*5</f>
        <v>66693.599999999991</v>
      </c>
      <c r="K24" s="22">
        <v>0</v>
      </c>
      <c r="L24" s="8">
        <f t="shared" si="0"/>
        <v>87164.349999999991</v>
      </c>
      <c r="M24" s="10">
        <v>70000</v>
      </c>
      <c r="N24" s="22">
        <f>K24</f>
        <v>0</v>
      </c>
      <c r="O24" s="5">
        <v>0</v>
      </c>
      <c r="P24" s="10">
        <f>1111.56*12*5</f>
        <v>66693.599999999991</v>
      </c>
      <c r="Q24" s="38" t="s">
        <v>45</v>
      </c>
    </row>
    <row r="25" spans="1:17" ht="15.75" thickBot="1" x14ac:dyDescent="0.3">
      <c r="A25" s="4"/>
      <c r="B25" s="14" t="s">
        <v>25</v>
      </c>
      <c r="C25" s="30">
        <f>3432.58*5*3</f>
        <v>51488.700000000004</v>
      </c>
      <c r="D25" s="19">
        <f>5*5472.05</f>
        <v>27360.25</v>
      </c>
      <c r="E25" s="30">
        <f>C25*0.8</f>
        <v>41190.960000000006</v>
      </c>
      <c r="F25" s="5">
        <f>D25</f>
        <v>27360.25</v>
      </c>
      <c r="G25" s="10">
        <f>854.55*12*5</f>
        <v>51272.999999999993</v>
      </c>
      <c r="H25" s="22">
        <f>E25</f>
        <v>41190.960000000006</v>
      </c>
      <c r="I25" s="5">
        <v>0</v>
      </c>
      <c r="J25" s="10">
        <f>1667.34*12*5</f>
        <v>100040.4</v>
      </c>
      <c r="K25" s="22">
        <v>0</v>
      </c>
      <c r="L25" s="8">
        <f t="shared" si="0"/>
        <v>27360.25</v>
      </c>
      <c r="M25" s="10">
        <v>90000</v>
      </c>
      <c r="N25" s="22">
        <f>K25</f>
        <v>0</v>
      </c>
      <c r="O25" s="5">
        <v>0</v>
      </c>
      <c r="P25" s="10">
        <f>1667.34*12*5</f>
        <v>100040.4</v>
      </c>
      <c r="Q25" s="38" t="s">
        <v>46</v>
      </c>
    </row>
    <row r="26" spans="1:17" ht="15.75" thickBot="1" x14ac:dyDescent="0.3">
      <c r="A26" s="4"/>
      <c r="B26" s="14" t="s">
        <v>26</v>
      </c>
      <c r="C26" s="30">
        <f>5*(3505.77+1719.69)*2</f>
        <v>52254.6</v>
      </c>
      <c r="D26" s="19">
        <f>5*(4623.93+895.5)</f>
        <v>27597.15</v>
      </c>
      <c r="E26" s="30">
        <f>C26*0.5</f>
        <v>26127.3</v>
      </c>
      <c r="F26" s="5">
        <f>D26</f>
        <v>27597.15</v>
      </c>
      <c r="G26" s="10">
        <f>26127</f>
        <v>26127</v>
      </c>
      <c r="H26" s="22">
        <f>E26</f>
        <v>26127.3</v>
      </c>
      <c r="I26" s="5">
        <v>0</v>
      </c>
      <c r="J26" s="10">
        <f>F26*1.5</f>
        <v>41395.725000000006</v>
      </c>
      <c r="K26" s="22">
        <v>0</v>
      </c>
      <c r="L26" s="8">
        <f t="shared" si="0"/>
        <v>27597.15</v>
      </c>
      <c r="M26" s="10">
        <v>52254.6</v>
      </c>
      <c r="N26" s="22">
        <f>K26</f>
        <v>0</v>
      </c>
      <c r="O26" s="5">
        <v>0</v>
      </c>
      <c r="P26" s="10">
        <f>L26*1.5</f>
        <v>41395.725000000006</v>
      </c>
      <c r="Q26" s="38" t="s">
        <v>47</v>
      </c>
    </row>
    <row r="27" spans="1:17" ht="15.75" thickBot="1" x14ac:dyDescent="0.3">
      <c r="A27" s="4"/>
      <c r="B27" s="15" t="s">
        <v>18</v>
      </c>
      <c r="C27" s="31">
        <v>0</v>
      </c>
      <c r="D27" s="20">
        <v>5000</v>
      </c>
      <c r="E27" s="31">
        <v>0</v>
      </c>
      <c r="F27" s="5">
        <f>D27</f>
        <v>5000</v>
      </c>
      <c r="G27" s="12"/>
      <c r="H27" s="23">
        <f>E27</f>
        <v>0</v>
      </c>
      <c r="I27" s="11">
        <v>0</v>
      </c>
      <c r="J27" s="12">
        <v>7500</v>
      </c>
      <c r="K27" s="23">
        <f>H27</f>
        <v>0</v>
      </c>
      <c r="L27" s="8">
        <f t="shared" si="0"/>
        <v>5000</v>
      </c>
      <c r="M27" s="12">
        <v>7500</v>
      </c>
      <c r="N27" s="23">
        <f>K27</f>
        <v>0</v>
      </c>
      <c r="O27" s="11">
        <v>0</v>
      </c>
      <c r="P27" s="12">
        <v>7500</v>
      </c>
      <c r="Q27" s="38" t="s">
        <v>48</v>
      </c>
    </row>
    <row r="28" spans="1:17" ht="15.75" thickBot="1" x14ac:dyDescent="0.3">
      <c r="B28" s="17" t="s">
        <v>21</v>
      </c>
      <c r="C28" s="33">
        <f>SUM(C18:C27)</f>
        <v>240091.66250000001</v>
      </c>
      <c r="D28" s="34">
        <f>SUM(D18:D27)</f>
        <v>307253</v>
      </c>
      <c r="E28" s="34">
        <f>SUM(E18:E27)</f>
        <v>190228.011875</v>
      </c>
      <c r="F28" s="34">
        <f>SUM(F18:F27)</f>
        <v>307253</v>
      </c>
      <c r="G28" s="34">
        <f>SUM(G18:G27)</f>
        <v>370576.5</v>
      </c>
      <c r="H28" s="34">
        <f>SUM(H18:H27)</f>
        <v>190228.011875</v>
      </c>
      <c r="I28" s="34">
        <f>SUM(I18:I27)</f>
        <v>0</v>
      </c>
      <c r="J28" s="34">
        <f>SUM(J18:J27)</f>
        <v>502306.47499999998</v>
      </c>
      <c r="K28" s="34">
        <f>SUM(K18:K27)</f>
        <v>0</v>
      </c>
      <c r="L28" s="8">
        <f t="shared" si="0"/>
        <v>307253</v>
      </c>
      <c r="M28" s="34">
        <f>SUM(M18:M27)</f>
        <v>504080.6</v>
      </c>
      <c r="N28" s="34">
        <f>SUM(N18:N27)</f>
        <v>0</v>
      </c>
      <c r="O28" s="34">
        <f>SUM(O18:O27)</f>
        <v>0</v>
      </c>
      <c r="P28" s="34">
        <f>SUM(P18:P27)</f>
        <v>503306.47499999998</v>
      </c>
    </row>
    <row r="29" spans="1:17" x14ac:dyDescent="0.25">
      <c r="B29" s="51" t="s">
        <v>22</v>
      </c>
      <c r="C29" s="52">
        <f>C17+C28</f>
        <v>1057312.6625000001</v>
      </c>
      <c r="D29" s="52">
        <f>D17+D28</f>
        <v>973353</v>
      </c>
      <c r="E29" s="52">
        <f>E17+E28</f>
        <v>689896.81187500013</v>
      </c>
      <c r="F29" s="52">
        <f>F17+F28</f>
        <v>973353</v>
      </c>
      <c r="G29" s="52">
        <f>G17+G28</f>
        <v>606576.5</v>
      </c>
      <c r="H29" s="52">
        <f>H17+H28</f>
        <v>700496.81187500013</v>
      </c>
      <c r="I29" s="52">
        <f>I17+I28</f>
        <v>0</v>
      </c>
      <c r="J29" s="52">
        <f>J17+J28</f>
        <v>748906.47499999998</v>
      </c>
      <c r="K29" s="52">
        <f>K17+K28</f>
        <v>0</v>
      </c>
      <c r="L29" s="52">
        <f>L17+L28</f>
        <v>973353</v>
      </c>
      <c r="M29" s="52">
        <f>M17+M28</f>
        <v>765580.6</v>
      </c>
      <c r="N29" s="52">
        <f>N17+N28</f>
        <v>0</v>
      </c>
      <c r="O29" s="52">
        <f>O17+O28</f>
        <v>0</v>
      </c>
      <c r="P29" s="52">
        <f>P17+P28</f>
        <v>757406.47499999998</v>
      </c>
    </row>
    <row r="30" spans="1:17" ht="15.75" thickBot="1" x14ac:dyDescent="0.3">
      <c r="B30" s="38" t="s">
        <v>51</v>
      </c>
      <c r="C30" s="39">
        <f>C29*1.1</f>
        <v>1163043.9287500002</v>
      </c>
      <c r="D30" s="39">
        <f>D29*1.1</f>
        <v>1070688.3</v>
      </c>
      <c r="E30" s="39">
        <f>E29*1.1</f>
        <v>758886.49306250026</v>
      </c>
      <c r="F30" s="39">
        <f>F29*1.1</f>
        <v>1070688.3</v>
      </c>
      <c r="G30" s="39">
        <f>G29*1.1</f>
        <v>667234.15</v>
      </c>
      <c r="H30" s="39">
        <f>H29*1.1</f>
        <v>770546.49306250026</v>
      </c>
      <c r="I30" s="39">
        <f>I29*1.1</f>
        <v>0</v>
      </c>
      <c r="J30" s="39">
        <f>J29*1.1</f>
        <v>823797.12250000006</v>
      </c>
      <c r="K30" s="39">
        <f>K29*1.1</f>
        <v>0</v>
      </c>
      <c r="L30" s="39">
        <f>L29*1.1</f>
        <v>1070688.3</v>
      </c>
      <c r="M30" s="39">
        <f>M29*1.1</f>
        <v>842138.66</v>
      </c>
      <c r="N30" s="39">
        <f>N29*1.1</f>
        <v>0</v>
      </c>
      <c r="O30" s="39">
        <f>O29*1.1</f>
        <v>0</v>
      </c>
      <c r="P30" s="39">
        <f>P29*1.1</f>
        <v>833147.12250000006</v>
      </c>
    </row>
    <row r="31" spans="1:17" ht="15.75" thickBot="1" x14ac:dyDescent="0.3">
      <c r="B31" s="51" t="s">
        <v>42</v>
      </c>
      <c r="C31" s="83">
        <f>C30+D30</f>
        <v>2233732.2287500002</v>
      </c>
      <c r="D31" s="84"/>
      <c r="E31" s="83">
        <f>SUM(E30:G30)</f>
        <v>2496808.9430625001</v>
      </c>
      <c r="F31" s="85"/>
      <c r="G31" s="84"/>
      <c r="H31" s="83">
        <f>SUM(H30:J30)</f>
        <v>1594343.6155625004</v>
      </c>
      <c r="I31" s="85"/>
      <c r="J31" s="84"/>
      <c r="K31" s="83">
        <f>SUM(K30:M30)</f>
        <v>1912826.96</v>
      </c>
      <c r="L31" s="85"/>
      <c r="M31" s="84"/>
      <c r="N31" s="83">
        <f>SUM(N30:P30)</f>
        <v>833147.12250000006</v>
      </c>
      <c r="O31" s="85"/>
      <c r="P31" s="84"/>
    </row>
    <row r="32" spans="1:17" ht="15.75" thickBot="1" x14ac:dyDescent="0.3">
      <c r="B32" s="38"/>
    </row>
    <row r="33" spans="2:22" x14ac:dyDescent="0.25">
      <c r="B33" s="38" t="s">
        <v>52</v>
      </c>
      <c r="C33" s="63">
        <v>0</v>
      </c>
      <c r="D33" s="77"/>
      <c r="E33" s="74">
        <v>5001468</v>
      </c>
      <c r="F33" s="64"/>
      <c r="G33" s="71"/>
      <c r="H33" s="80">
        <v>10497533</v>
      </c>
      <c r="I33" s="64"/>
      <c r="J33" s="65"/>
      <c r="K33" s="80">
        <v>7500000</v>
      </c>
      <c r="L33" s="64"/>
      <c r="M33" s="65"/>
      <c r="N33" s="80">
        <v>12500000</v>
      </c>
      <c r="O33" s="64"/>
      <c r="P33" s="65"/>
    </row>
    <row r="34" spans="2:22" x14ac:dyDescent="0.25">
      <c r="B34" s="38" t="s">
        <v>53</v>
      </c>
      <c r="C34" s="66">
        <v>0</v>
      </c>
      <c r="D34" s="78"/>
      <c r="E34" s="75"/>
      <c r="F34" s="57"/>
      <c r="G34" s="72"/>
      <c r="H34" s="81">
        <v>1100000</v>
      </c>
      <c r="I34" s="57"/>
      <c r="J34" s="67"/>
      <c r="K34" s="81">
        <v>1100000</v>
      </c>
      <c r="L34" s="57"/>
      <c r="M34" s="67"/>
      <c r="N34" s="81">
        <v>1100000</v>
      </c>
      <c r="O34" s="57"/>
      <c r="P34" s="67"/>
    </row>
    <row r="35" spans="2:22" x14ac:dyDescent="0.25">
      <c r="B35" s="86" t="s">
        <v>54</v>
      </c>
      <c r="C35" s="66">
        <v>0</v>
      </c>
      <c r="D35" s="78"/>
      <c r="E35" s="75"/>
      <c r="F35" s="57"/>
      <c r="G35" s="72"/>
      <c r="H35" s="81">
        <v>3000000</v>
      </c>
      <c r="I35" s="57"/>
      <c r="J35" s="67"/>
      <c r="K35" s="81"/>
      <c r="L35" s="57"/>
      <c r="M35" s="67"/>
      <c r="N35" s="81"/>
      <c r="O35" s="57"/>
      <c r="P35" s="67"/>
    </row>
    <row r="36" spans="2:22" x14ac:dyDescent="0.25">
      <c r="B36" s="38" t="s">
        <v>55</v>
      </c>
      <c r="C36" s="66">
        <v>0</v>
      </c>
      <c r="D36" s="78"/>
      <c r="E36" s="75">
        <f>E33-E34-E35</f>
        <v>5001468</v>
      </c>
      <c r="F36" s="57"/>
      <c r="G36" s="72"/>
      <c r="H36" s="81">
        <f>H33-H34-H35</f>
        <v>6397533</v>
      </c>
      <c r="I36" s="57"/>
      <c r="J36" s="67"/>
      <c r="K36" s="81">
        <f>K33-K34-K35</f>
        <v>6400000</v>
      </c>
      <c r="L36" s="57"/>
      <c r="M36" s="67"/>
      <c r="N36" s="81">
        <f>N33-N34-N35</f>
        <v>11400000</v>
      </c>
      <c r="O36" s="57"/>
      <c r="P36" s="67"/>
      <c r="U36" s="2" t="s">
        <v>59</v>
      </c>
      <c r="V36" s="2" t="s">
        <v>60</v>
      </c>
    </row>
    <row r="37" spans="2:22" x14ac:dyDescent="0.25">
      <c r="B37" s="38" t="s">
        <v>56</v>
      </c>
      <c r="C37" s="66">
        <v>0</v>
      </c>
      <c r="D37" s="78"/>
      <c r="E37" s="75">
        <f>PMT(V37,U37,E36)*-1</f>
        <v>363351.20605230355</v>
      </c>
      <c r="F37" s="57"/>
      <c r="G37" s="72"/>
      <c r="H37" s="81">
        <f>PMT(V37,U37,H36)*-1</f>
        <v>464773.8086716563</v>
      </c>
      <c r="I37" s="57"/>
      <c r="J37" s="67"/>
      <c r="K37" s="81">
        <f>PMT(V37,U37,K36)*-1</f>
        <v>464953.03353630222</v>
      </c>
      <c r="L37" s="57"/>
      <c r="M37" s="67"/>
      <c r="N37" s="81">
        <f>PMT(V37,U37,N36)*-1</f>
        <v>828197.59098653833</v>
      </c>
      <c r="O37" s="57"/>
      <c r="P37" s="67"/>
      <c r="Q37" s="38" t="s">
        <v>66</v>
      </c>
      <c r="U37" s="2">
        <v>30</v>
      </c>
      <c r="V37" s="2">
        <v>0.06</v>
      </c>
    </row>
    <row r="38" spans="2:22" ht="15.75" thickBot="1" x14ac:dyDescent="0.3">
      <c r="B38" s="38" t="s">
        <v>57</v>
      </c>
      <c r="C38" s="68">
        <v>0</v>
      </c>
      <c r="D38" s="79"/>
      <c r="E38" s="76">
        <f>E37*5</f>
        <v>1816756.0302615177</v>
      </c>
      <c r="F38" s="69"/>
      <c r="G38" s="73"/>
      <c r="H38" s="82">
        <f>H37*5</f>
        <v>2323869.0433582813</v>
      </c>
      <c r="I38" s="69"/>
      <c r="J38" s="70"/>
      <c r="K38" s="82">
        <f>K37*5</f>
        <v>2324765.167681511</v>
      </c>
      <c r="L38" s="69"/>
      <c r="M38" s="70"/>
      <c r="N38" s="82">
        <f>N37*5</f>
        <v>4140987.9549326915</v>
      </c>
      <c r="O38" s="69"/>
      <c r="P38" s="70"/>
    </row>
    <row r="39" spans="2:22" ht="15.75" thickBot="1" x14ac:dyDescent="0.3"/>
    <row r="40" spans="2:22" ht="15.75" thickBot="1" x14ac:dyDescent="0.3">
      <c r="B40" s="38" t="s">
        <v>58</v>
      </c>
      <c r="C40" s="58">
        <f>C31+C38</f>
        <v>2233732.2287500002</v>
      </c>
      <c r="D40" s="59"/>
      <c r="E40" s="60">
        <f>E38+E31</f>
        <v>4313564.9733240176</v>
      </c>
      <c r="F40" s="61"/>
      <c r="G40" s="61"/>
      <c r="H40" s="60">
        <f>H38+H31</f>
        <v>3918212.6589207817</v>
      </c>
      <c r="I40" s="61"/>
      <c r="J40" s="62"/>
      <c r="K40" s="60">
        <f>K38+K31</f>
        <v>4237592.1276815105</v>
      </c>
      <c r="L40" s="61"/>
      <c r="M40" s="62"/>
      <c r="N40" s="60">
        <f>N38+N31</f>
        <v>4974135.0774326921</v>
      </c>
      <c r="O40" s="61"/>
      <c r="P40" s="62"/>
    </row>
    <row r="41" spans="2:22" ht="15.75" thickBot="1" x14ac:dyDescent="0.3"/>
    <row r="42" spans="2:22" ht="15.75" thickBot="1" x14ac:dyDescent="0.3">
      <c r="B42" s="38" t="s">
        <v>85</v>
      </c>
      <c r="C42" s="101">
        <v>0</v>
      </c>
      <c r="D42" s="102"/>
      <c r="E42" s="96">
        <f>E40-$C$40</f>
        <v>2079832.7445740174</v>
      </c>
      <c r="F42" s="97"/>
      <c r="G42" s="95"/>
      <c r="H42" s="96">
        <f t="shared" ref="H42:M44" si="2">H40-$C$40</f>
        <v>1684480.4301707814</v>
      </c>
      <c r="I42" s="97"/>
      <c r="J42" s="95"/>
      <c r="K42" s="96">
        <f t="shared" ref="K42:M44" si="3">K40-$C$40</f>
        <v>2003859.8989315103</v>
      </c>
      <c r="L42" s="97"/>
      <c r="M42" s="95"/>
    </row>
    <row r="43" spans="2:22" ht="15.75" thickBot="1" x14ac:dyDescent="0.3"/>
    <row r="44" spans="2:22" ht="15.75" thickBot="1" x14ac:dyDescent="0.3">
      <c r="B44" s="2" t="s">
        <v>87</v>
      </c>
      <c r="C44" s="101">
        <v>0</v>
      </c>
      <c r="D44" s="102"/>
      <c r="E44" s="96">
        <f>E42/5</f>
        <v>415966.54891480348</v>
      </c>
      <c r="F44" s="97"/>
      <c r="G44" s="95"/>
      <c r="H44" s="96">
        <f>H42/5</f>
        <v>336896.08603415627</v>
      </c>
      <c r="I44" s="97"/>
      <c r="J44" s="95"/>
      <c r="K44" s="96">
        <f>K42/5</f>
        <v>400771.97978630208</v>
      </c>
      <c r="L44" s="97"/>
      <c r="M44" s="95"/>
    </row>
  </sheetData>
  <mergeCells count="60">
    <mergeCell ref="K42:M42"/>
    <mergeCell ref="H42:J42"/>
    <mergeCell ref="E42:G42"/>
    <mergeCell ref="C42:D42"/>
    <mergeCell ref="C44:D44"/>
    <mergeCell ref="E44:G44"/>
    <mergeCell ref="H44:J44"/>
    <mergeCell ref="K44:M44"/>
    <mergeCell ref="N38:P38"/>
    <mergeCell ref="N40:P40"/>
    <mergeCell ref="C2:D2"/>
    <mergeCell ref="E2:G2"/>
    <mergeCell ref="H2:J2"/>
    <mergeCell ref="K2:M2"/>
    <mergeCell ref="K37:M37"/>
    <mergeCell ref="K38:M38"/>
    <mergeCell ref="K40:M40"/>
    <mergeCell ref="N3:P3"/>
    <mergeCell ref="N31:P31"/>
    <mergeCell ref="N33:P33"/>
    <mergeCell ref="N34:P34"/>
    <mergeCell ref="N35:P35"/>
    <mergeCell ref="N36:P36"/>
    <mergeCell ref="N37:P37"/>
    <mergeCell ref="K3:M3"/>
    <mergeCell ref="K31:M31"/>
    <mergeCell ref="K33:M33"/>
    <mergeCell ref="K34:M34"/>
    <mergeCell ref="K35:M35"/>
    <mergeCell ref="K36:M36"/>
    <mergeCell ref="C38:D38"/>
    <mergeCell ref="E38:G38"/>
    <mergeCell ref="H38:J38"/>
    <mergeCell ref="C40:D40"/>
    <mergeCell ref="E40:G40"/>
    <mergeCell ref="H40:J40"/>
    <mergeCell ref="C36:D36"/>
    <mergeCell ref="E36:G36"/>
    <mergeCell ref="H36:J36"/>
    <mergeCell ref="C37:D37"/>
    <mergeCell ref="E37:G37"/>
    <mergeCell ref="H37:J37"/>
    <mergeCell ref="C34:D34"/>
    <mergeCell ref="E34:G34"/>
    <mergeCell ref="H34:J34"/>
    <mergeCell ref="C35:D35"/>
    <mergeCell ref="E35:G35"/>
    <mergeCell ref="H35:J35"/>
    <mergeCell ref="C31:D31"/>
    <mergeCell ref="E31:G31"/>
    <mergeCell ref="H31:J31"/>
    <mergeCell ref="C33:D33"/>
    <mergeCell ref="E33:G33"/>
    <mergeCell ref="H33:J33"/>
    <mergeCell ref="C1:J1"/>
    <mergeCell ref="C3:D3"/>
    <mergeCell ref="E3:G3"/>
    <mergeCell ref="H3:J3"/>
    <mergeCell ref="A5:A16"/>
    <mergeCell ref="A18:A27"/>
  </mergeCells>
  <pageMargins left="0.25" right="0.25" top="0.75" bottom="0.75" header="0.3" footer="0.3"/>
  <pageSetup paperSize="5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1957-71AE-489D-8097-43F6DB6DF463}">
  <dimension ref="A1:P43"/>
  <sheetViews>
    <sheetView workbookViewId="0">
      <selection activeCell="F36" sqref="F36"/>
    </sheetView>
  </sheetViews>
  <sheetFormatPr defaultRowHeight="15" x14ac:dyDescent="0.25"/>
  <cols>
    <col min="3" max="3" width="18.85546875" bestFit="1" customWidth="1"/>
    <col min="4" max="4" width="15.7109375" bestFit="1" customWidth="1"/>
    <col min="5" max="5" width="15.28515625" bestFit="1" customWidth="1"/>
    <col min="7" max="7" width="18.85546875" bestFit="1" customWidth="1"/>
    <col min="8" max="8" width="14.28515625" bestFit="1" customWidth="1"/>
    <col min="9" max="9" width="15.28515625" bestFit="1" customWidth="1"/>
    <col min="11" max="11" width="15.28515625" hidden="1" customWidth="1"/>
    <col min="12" max="12" width="19.42578125" hidden="1" customWidth="1"/>
    <col min="13" max="13" width="15.28515625" hidden="1" customWidth="1"/>
    <col min="14" max="16" width="0" hidden="1" customWidth="1"/>
  </cols>
  <sheetData>
    <row r="1" spans="1:16" x14ac:dyDescent="0.25">
      <c r="A1" t="s">
        <v>67</v>
      </c>
      <c r="D1" t="s">
        <v>73</v>
      </c>
      <c r="E1">
        <v>0.06</v>
      </c>
      <c r="G1" t="s">
        <v>74</v>
      </c>
      <c r="H1">
        <v>30</v>
      </c>
    </row>
    <row r="2" spans="1:16" x14ac:dyDescent="0.25">
      <c r="C2" s="1" t="s">
        <v>79</v>
      </c>
      <c r="D2" s="1"/>
      <c r="E2" s="1"/>
      <c r="G2" s="1" t="s">
        <v>80</v>
      </c>
      <c r="H2" s="1"/>
      <c r="I2" s="1"/>
      <c r="L2" t="s">
        <v>92</v>
      </c>
    </row>
    <row r="3" spans="1:16" x14ac:dyDescent="0.25">
      <c r="C3" t="s">
        <v>76</v>
      </c>
      <c r="D3" t="s">
        <v>77</v>
      </c>
      <c r="E3" t="s">
        <v>78</v>
      </c>
      <c r="G3" t="s">
        <v>76</v>
      </c>
      <c r="H3" t="s">
        <v>77</v>
      </c>
      <c r="I3" t="s">
        <v>78</v>
      </c>
    </row>
    <row r="4" spans="1:16" x14ac:dyDescent="0.25">
      <c r="A4" t="s">
        <v>72</v>
      </c>
      <c r="B4">
        <v>1</v>
      </c>
      <c r="C4" s="90">
        <f>Options!E36</f>
        <v>5001468</v>
      </c>
      <c r="D4" s="91">
        <f>C4*$E$1</f>
        <v>300088.08</v>
      </c>
      <c r="E4" s="92">
        <f>PMT(E1,H1,C4)</f>
        <v>-363351.20605230355</v>
      </c>
      <c r="G4" s="90">
        <f>Options!H36</f>
        <v>6397533</v>
      </c>
      <c r="H4" s="91">
        <f>G4*$E$1</f>
        <v>383851.98</v>
      </c>
      <c r="I4" s="92">
        <f>PMT(E1,H1,G4)</f>
        <v>-464773.8086716563</v>
      </c>
      <c r="K4" s="91">
        <f>G4</f>
        <v>6397533</v>
      </c>
      <c r="L4" s="91">
        <f>K4*$O$4</f>
        <v>223913.65500000003</v>
      </c>
      <c r="M4" s="92">
        <f>PMT($O$4,30,K4)</f>
        <v>-347842.38821243518</v>
      </c>
      <c r="O4">
        <v>3.5000000000000003E-2</v>
      </c>
    </row>
    <row r="5" spans="1:16" x14ac:dyDescent="0.25">
      <c r="B5">
        <v>2</v>
      </c>
      <c r="C5" s="91">
        <f>C4+D4+$E$4</f>
        <v>4938204.8739476968</v>
      </c>
      <c r="D5" s="91">
        <f>C5*$E$1</f>
        <v>296292.29243686178</v>
      </c>
      <c r="E5" s="92">
        <f>E4</f>
        <v>-363351.20605230355</v>
      </c>
      <c r="G5" s="91">
        <f>G4+H4+$I$4</f>
        <v>6316611.1713283444</v>
      </c>
      <c r="H5" s="91">
        <f>G5*$E$1</f>
        <v>378996.67027970066</v>
      </c>
      <c r="I5" s="92">
        <f>I4</f>
        <v>-464773.8086716563</v>
      </c>
      <c r="K5" s="91">
        <f>K4+L4+M4</f>
        <v>6273604.2667875653</v>
      </c>
      <c r="L5" s="91">
        <f>K5*$O$4</f>
        <v>219576.1493375648</v>
      </c>
      <c r="M5" s="92">
        <f>PMT($O$4,30,$K$4)</f>
        <v>-347842.38821243518</v>
      </c>
    </row>
    <row r="6" spans="1:16" x14ac:dyDescent="0.25">
      <c r="B6">
        <v>3</v>
      </c>
      <c r="C6" s="91">
        <f t="shared" ref="C6:C33" si="0">C5+D5+$E$4</f>
        <v>4871145.9603322549</v>
      </c>
      <c r="D6" s="91">
        <f>C6*$E$1</f>
        <v>292268.75761993526</v>
      </c>
      <c r="E6" s="92">
        <f t="shared" ref="E6:E33" si="1">E5</f>
        <v>-363351.20605230355</v>
      </c>
      <c r="G6" s="91">
        <f t="shared" ref="G6:G33" si="2">G5+H5+$I$4</f>
        <v>6230834.0329363886</v>
      </c>
      <c r="H6" s="91">
        <f t="shared" ref="H6:H33" si="3">G6*$E$1</f>
        <v>373850.0419761833</v>
      </c>
      <c r="I6" s="92">
        <f t="shared" ref="I6:I33" si="4">I5</f>
        <v>-464773.8086716563</v>
      </c>
      <c r="K6" s="91">
        <f t="shared" ref="K6:K13" si="5">K5+L5+M5</f>
        <v>6145338.027912695</v>
      </c>
      <c r="L6" s="91">
        <f>K6*$O$4</f>
        <v>215086.83097694436</v>
      </c>
      <c r="M6" s="92">
        <f t="shared" ref="M6:M13" si="6">PMT($O$4,30,$K$4)</f>
        <v>-347842.38821243518</v>
      </c>
    </row>
    <row r="7" spans="1:16" x14ac:dyDescent="0.25">
      <c r="B7">
        <v>4</v>
      </c>
      <c r="C7" s="91">
        <f t="shared" si="0"/>
        <v>4800063.5118998867</v>
      </c>
      <c r="D7" s="91">
        <f t="shared" ref="D7:D33" si="7">C7*$E$1</f>
        <v>288003.81071399321</v>
      </c>
      <c r="E7" s="92">
        <f t="shared" si="1"/>
        <v>-363351.20605230355</v>
      </c>
      <c r="G7" s="91">
        <f t="shared" si="2"/>
        <v>6139910.2662409162</v>
      </c>
      <c r="H7" s="91">
        <f t="shared" si="3"/>
        <v>368394.61597445497</v>
      </c>
      <c r="I7" s="92">
        <f t="shared" si="4"/>
        <v>-464773.8086716563</v>
      </c>
      <c r="K7" s="91">
        <f t="shared" si="5"/>
        <v>6012582.4706772044</v>
      </c>
      <c r="L7" s="91">
        <f>K7*$O$4</f>
        <v>210440.38647370218</v>
      </c>
      <c r="M7" s="92">
        <f t="shared" si="6"/>
        <v>-347842.38821243518</v>
      </c>
    </row>
    <row r="8" spans="1:16" x14ac:dyDescent="0.25">
      <c r="B8">
        <v>5</v>
      </c>
      <c r="C8" s="91">
        <f t="shared" si="0"/>
        <v>4724716.1165615767</v>
      </c>
      <c r="D8" s="91">
        <f t="shared" si="7"/>
        <v>283482.9669936946</v>
      </c>
      <c r="E8" s="92">
        <f t="shared" si="1"/>
        <v>-363351.20605230355</v>
      </c>
      <c r="G8" s="91">
        <f t="shared" si="2"/>
        <v>6043531.0735437153</v>
      </c>
      <c r="H8" s="91">
        <f t="shared" si="3"/>
        <v>362611.86441262288</v>
      </c>
      <c r="I8" s="92">
        <f t="shared" si="4"/>
        <v>-464773.8086716563</v>
      </c>
      <c r="K8" s="91">
        <f t="shared" si="5"/>
        <v>5875180.4689384717</v>
      </c>
      <c r="L8" s="91">
        <f>K8*$O$4</f>
        <v>205631.31641284653</v>
      </c>
      <c r="M8" s="92">
        <f t="shared" si="6"/>
        <v>-347842.38821243518</v>
      </c>
    </row>
    <row r="9" spans="1:16" x14ac:dyDescent="0.25">
      <c r="B9">
        <v>6</v>
      </c>
      <c r="C9" s="91">
        <f t="shared" si="0"/>
        <v>4644847.8775029676</v>
      </c>
      <c r="D9" s="91">
        <f t="shared" si="7"/>
        <v>278690.87265017803</v>
      </c>
      <c r="E9" s="92">
        <f t="shared" si="1"/>
        <v>-363351.20605230355</v>
      </c>
      <c r="G9" s="91">
        <f t="shared" si="2"/>
        <v>5941369.1292846818</v>
      </c>
      <c r="H9" s="91">
        <f t="shared" si="3"/>
        <v>356482.14775708091</v>
      </c>
      <c r="I9" s="92">
        <f t="shared" si="4"/>
        <v>-464773.8086716563</v>
      </c>
      <c r="K9" s="91">
        <f t="shared" si="5"/>
        <v>5732969.3971388834</v>
      </c>
      <c r="L9" s="91">
        <f>K9*$O$4</f>
        <v>200653.92889986094</v>
      </c>
      <c r="M9" s="92">
        <f t="shared" si="6"/>
        <v>-347842.38821243518</v>
      </c>
    </row>
    <row r="10" spans="1:16" x14ac:dyDescent="0.25">
      <c r="B10">
        <v>7</v>
      </c>
      <c r="C10" s="91">
        <f t="shared" si="0"/>
        <v>4560187.5441008424</v>
      </c>
      <c r="D10" s="91">
        <f t="shared" si="7"/>
        <v>273611.25264605053</v>
      </c>
      <c r="E10" s="92">
        <f t="shared" si="1"/>
        <v>-363351.20605230355</v>
      </c>
      <c r="G10" s="91">
        <f t="shared" si="2"/>
        <v>5833077.468370107</v>
      </c>
      <c r="H10" s="91">
        <f t="shared" si="3"/>
        <v>349984.64810220641</v>
      </c>
      <c r="I10" s="92">
        <f t="shared" si="4"/>
        <v>-464773.8086716563</v>
      </c>
      <c r="K10" s="91">
        <f t="shared" si="5"/>
        <v>5585780.9378263094</v>
      </c>
      <c r="L10" s="91">
        <f>K10*$O$4</f>
        <v>195502.33282392085</v>
      </c>
      <c r="M10" s="92">
        <f t="shared" si="6"/>
        <v>-347842.38821243518</v>
      </c>
    </row>
    <row r="11" spans="1:16" x14ac:dyDescent="0.25">
      <c r="B11">
        <v>8</v>
      </c>
      <c r="C11" s="91">
        <f t="shared" si="0"/>
        <v>4470447.5906945895</v>
      </c>
      <c r="D11" s="91">
        <f t="shared" si="7"/>
        <v>268226.85544167535</v>
      </c>
      <c r="E11" s="92">
        <f t="shared" si="1"/>
        <v>-363351.20605230355</v>
      </c>
      <c r="G11" s="91">
        <f t="shared" si="2"/>
        <v>5718288.3078006571</v>
      </c>
      <c r="H11" s="91">
        <f t="shared" si="3"/>
        <v>343097.29846803943</v>
      </c>
      <c r="I11" s="92">
        <f t="shared" si="4"/>
        <v>-464773.8086716563</v>
      </c>
      <c r="K11" s="91">
        <f t="shared" si="5"/>
        <v>5433440.8824377954</v>
      </c>
      <c r="L11" s="91">
        <f>K11*$O$4</f>
        <v>190170.43088532286</v>
      </c>
      <c r="M11" s="92">
        <f t="shared" si="6"/>
        <v>-347842.38821243518</v>
      </c>
    </row>
    <row r="12" spans="1:16" x14ac:dyDescent="0.25">
      <c r="B12">
        <v>9</v>
      </c>
      <c r="C12" s="91">
        <f t="shared" si="0"/>
        <v>4375323.2400839617</v>
      </c>
      <c r="D12" s="91">
        <f t="shared" si="7"/>
        <v>262519.39440503769</v>
      </c>
      <c r="E12" s="92">
        <f t="shared" si="1"/>
        <v>-363351.20605230355</v>
      </c>
      <c r="G12" s="91">
        <f t="shared" si="2"/>
        <v>5596611.7975970404</v>
      </c>
      <c r="H12" s="91">
        <f t="shared" si="3"/>
        <v>335796.7078558224</v>
      </c>
      <c r="I12" s="92">
        <f t="shared" si="4"/>
        <v>-464773.8086716563</v>
      </c>
      <c r="K12" s="91">
        <f t="shared" si="5"/>
        <v>5275768.9251106828</v>
      </c>
      <c r="L12" s="91">
        <f>K12*$O$4</f>
        <v>184651.91237887391</v>
      </c>
      <c r="M12" s="92">
        <f t="shared" si="6"/>
        <v>-347842.38821243518</v>
      </c>
    </row>
    <row r="13" spans="1:16" x14ac:dyDescent="0.25">
      <c r="B13">
        <v>10</v>
      </c>
      <c r="C13" s="91">
        <f t="shared" si="0"/>
        <v>4274491.4284366965</v>
      </c>
      <c r="D13" s="91">
        <f t="shared" si="7"/>
        <v>256469.48570620178</v>
      </c>
      <c r="E13" s="92">
        <f t="shared" si="1"/>
        <v>-363351.20605230355</v>
      </c>
      <c r="G13" s="91">
        <f t="shared" si="2"/>
        <v>5467634.6967812069</v>
      </c>
      <c r="H13" s="91">
        <f t="shared" si="3"/>
        <v>328058.08180687239</v>
      </c>
      <c r="I13" s="92">
        <f t="shared" si="4"/>
        <v>-464773.8086716563</v>
      </c>
      <c r="K13" s="91">
        <f t="shared" si="5"/>
        <v>5112578.4492771216</v>
      </c>
      <c r="L13" s="91">
        <f>K13*$O$4</f>
        <v>178940.24572469929</v>
      </c>
      <c r="M13" s="92">
        <f t="shared" si="6"/>
        <v>-347842.38821243518</v>
      </c>
    </row>
    <row r="14" spans="1:16" x14ac:dyDescent="0.25">
      <c r="B14">
        <v>11</v>
      </c>
      <c r="C14" s="91">
        <f t="shared" si="0"/>
        <v>4167609.708090595</v>
      </c>
      <c r="D14" s="91">
        <f t="shared" si="7"/>
        <v>250056.58248543568</v>
      </c>
      <c r="E14" s="92">
        <f t="shared" si="1"/>
        <v>-363351.20605230355</v>
      </c>
      <c r="G14" s="91">
        <f t="shared" si="2"/>
        <v>5330918.9699164229</v>
      </c>
      <c r="H14" s="91">
        <f t="shared" si="3"/>
        <v>319855.13819498534</v>
      </c>
      <c r="I14" s="92">
        <f t="shared" si="4"/>
        <v>-464773.8086716563</v>
      </c>
      <c r="K14" s="91">
        <f>K13+L13+M13</f>
        <v>4943676.3067893861</v>
      </c>
      <c r="L14" s="91">
        <f>K14*O14</f>
        <v>271902.19687341625</v>
      </c>
      <c r="M14" s="92">
        <f>PMT(O14,30,$K$4)</f>
        <v>-440184.75105175417</v>
      </c>
      <c r="O14">
        <v>5.5E-2</v>
      </c>
      <c r="P14" t="s">
        <v>93</v>
      </c>
    </row>
    <row r="15" spans="1:16" x14ac:dyDescent="0.25">
      <c r="B15">
        <v>12</v>
      </c>
      <c r="C15" s="91">
        <f t="shared" si="0"/>
        <v>4054315.0845237272</v>
      </c>
      <c r="D15" s="91">
        <f t="shared" si="7"/>
        <v>243258.90507142362</v>
      </c>
      <c r="E15" s="92">
        <f t="shared" si="1"/>
        <v>-363351.20605230355</v>
      </c>
      <c r="G15" s="91">
        <f t="shared" si="2"/>
        <v>5186000.2994397525</v>
      </c>
      <c r="H15" s="91">
        <f t="shared" si="3"/>
        <v>311160.01796638512</v>
      </c>
      <c r="I15" s="92">
        <f t="shared" si="4"/>
        <v>-464773.8086716563</v>
      </c>
      <c r="K15" s="91">
        <f t="shared" ref="K15:K43" si="8">K14+L14+M14</f>
        <v>4775393.7526110485</v>
      </c>
      <c r="L15" s="91">
        <f t="shared" ref="L15:L43" si="9">K15*O15</f>
        <v>267899.58952147985</v>
      </c>
      <c r="M15" s="92">
        <f t="shared" ref="M15:M32" si="10">PMT(O15,30,$K$4)</f>
        <v>-445546.19274924387</v>
      </c>
      <c r="O15">
        <f>O14*1.02</f>
        <v>5.6100000000000004E-2</v>
      </c>
    </row>
    <row r="16" spans="1:16" x14ac:dyDescent="0.25">
      <c r="B16">
        <v>13</v>
      </c>
      <c r="C16" s="91">
        <f t="shared" si="0"/>
        <v>3934222.7835428473</v>
      </c>
      <c r="D16" s="91">
        <f t="shared" si="7"/>
        <v>236053.36701257082</v>
      </c>
      <c r="E16" s="92">
        <f t="shared" si="1"/>
        <v>-363351.20605230355</v>
      </c>
      <c r="G16" s="91">
        <f t="shared" si="2"/>
        <v>5032386.5087344814</v>
      </c>
      <c r="H16" s="91">
        <f t="shared" si="3"/>
        <v>301943.19052406889</v>
      </c>
      <c r="I16" s="92">
        <f t="shared" si="4"/>
        <v>-464773.8086716563</v>
      </c>
      <c r="K16" s="91">
        <f t="shared" si="8"/>
        <v>4597747.1493832842</v>
      </c>
      <c r="L16" s="91">
        <f t="shared" si="9"/>
        <v>263092.28738201031</v>
      </c>
      <c r="M16" s="92">
        <f t="shared" si="10"/>
        <v>-451043.11502831278</v>
      </c>
      <c r="O16">
        <f>O15*1.02</f>
        <v>5.7222000000000002E-2</v>
      </c>
    </row>
    <row r="17" spans="2:15" x14ac:dyDescent="0.25">
      <c r="B17">
        <v>14</v>
      </c>
      <c r="C17" s="91">
        <f t="shared" si="0"/>
        <v>3806924.9445031146</v>
      </c>
      <c r="D17" s="91">
        <f t="shared" si="7"/>
        <v>228415.49667018687</v>
      </c>
      <c r="E17" s="92">
        <f t="shared" si="1"/>
        <v>-363351.20605230355</v>
      </c>
      <c r="G17" s="91">
        <f t="shared" si="2"/>
        <v>4869555.890586894</v>
      </c>
      <c r="H17" s="91">
        <f t="shared" si="3"/>
        <v>292173.35343521362</v>
      </c>
      <c r="I17" s="92">
        <f t="shared" si="4"/>
        <v>-464773.8086716563</v>
      </c>
      <c r="K17" s="91">
        <f t="shared" si="8"/>
        <v>4409796.3217369821</v>
      </c>
      <c r="L17" s="91">
        <f t="shared" si="9"/>
        <v>257384.11242488227</v>
      </c>
      <c r="M17" s="92">
        <f t="shared" si="10"/>
        <v>-456679.02952092211</v>
      </c>
      <c r="O17">
        <f>O16*1.02</f>
        <v>5.8366440000000006E-2</v>
      </c>
    </row>
    <row r="18" spans="2:15" x14ac:dyDescent="0.25">
      <c r="B18">
        <v>15</v>
      </c>
      <c r="C18" s="91">
        <f t="shared" si="0"/>
        <v>3671989.2351209978</v>
      </c>
      <c r="D18" s="91">
        <f t="shared" si="7"/>
        <v>220319.35410725986</v>
      </c>
      <c r="E18" s="92">
        <f t="shared" si="1"/>
        <v>-363351.20605230355</v>
      </c>
      <c r="G18" s="91">
        <f t="shared" si="2"/>
        <v>4696955.4353504516</v>
      </c>
      <c r="H18" s="91">
        <f t="shared" si="3"/>
        <v>281817.32612102712</v>
      </c>
      <c r="I18" s="92">
        <f t="shared" si="4"/>
        <v>-464773.8086716563</v>
      </c>
      <c r="K18" s="91">
        <f t="shared" si="8"/>
        <v>4210501.4046409419</v>
      </c>
      <c r="L18" s="91">
        <f t="shared" si="9"/>
        <v>250667.01715596911</v>
      </c>
      <c r="M18" s="92">
        <f t="shared" si="10"/>
        <v>-462457.52895556408</v>
      </c>
      <c r="O18">
        <f>O17*1.02</f>
        <v>5.9533768800000005E-2</v>
      </c>
    </row>
    <row r="19" spans="2:15" x14ac:dyDescent="0.25">
      <c r="B19">
        <v>16</v>
      </c>
      <c r="C19" s="91">
        <f t="shared" si="0"/>
        <v>3528957.3831759542</v>
      </c>
      <c r="D19" s="91">
        <f t="shared" si="7"/>
        <v>211737.44299055723</v>
      </c>
      <c r="E19" s="92">
        <f t="shared" si="1"/>
        <v>-363351.20605230355</v>
      </c>
      <c r="G19" s="91">
        <f t="shared" si="2"/>
        <v>4513998.9527998222</v>
      </c>
      <c r="H19" s="91">
        <f t="shared" si="3"/>
        <v>270839.93716798932</v>
      </c>
      <c r="I19" s="92">
        <f t="shared" si="4"/>
        <v>-464773.8086716563</v>
      </c>
      <c r="K19" s="91">
        <f t="shared" si="8"/>
        <v>3998710.8928413475</v>
      </c>
      <c r="L19" s="91">
        <f t="shared" si="9"/>
        <v>242819.49638830757</v>
      </c>
      <c r="M19" s="92">
        <f t="shared" si="10"/>
        <v>-468382.28802641347</v>
      </c>
      <c r="O19">
        <f>O18*1.02</f>
        <v>6.0724444176000009E-2</v>
      </c>
    </row>
    <row r="20" spans="2:15" x14ac:dyDescent="0.25">
      <c r="B20">
        <v>17</v>
      </c>
      <c r="C20" s="91">
        <f t="shared" si="0"/>
        <v>3377343.6201142082</v>
      </c>
      <c r="D20" s="91">
        <f t="shared" si="7"/>
        <v>202640.61720685248</v>
      </c>
      <c r="E20" s="92">
        <f t="shared" si="1"/>
        <v>-363351.20605230355</v>
      </c>
      <c r="G20" s="91">
        <f t="shared" si="2"/>
        <v>4320065.0812961552</v>
      </c>
      <c r="H20" s="91">
        <f t="shared" si="3"/>
        <v>259203.9048777693</v>
      </c>
      <c r="I20" s="92">
        <f t="shared" si="4"/>
        <v>-464773.8086716563</v>
      </c>
      <c r="K20" s="91">
        <f t="shared" si="8"/>
        <v>3773148.1012032419</v>
      </c>
      <c r="L20" s="91">
        <f t="shared" si="9"/>
        <v>233704.76766408261</v>
      </c>
      <c r="M20" s="92">
        <f t="shared" si="10"/>
        <v>-474457.06420250772</v>
      </c>
      <c r="O20">
        <f>O19*1.02</f>
        <v>6.1938933059520009E-2</v>
      </c>
    </row>
    <row r="21" spans="2:15" x14ac:dyDescent="0.25">
      <c r="B21">
        <v>18</v>
      </c>
      <c r="C21" s="91">
        <f t="shared" si="0"/>
        <v>3216633.0312687568</v>
      </c>
      <c r="D21" s="91">
        <f t="shared" si="7"/>
        <v>192997.98187612541</v>
      </c>
      <c r="E21" s="92">
        <f t="shared" si="1"/>
        <v>-363351.20605230355</v>
      </c>
      <c r="G21" s="91">
        <f t="shared" si="2"/>
        <v>4114495.177502268</v>
      </c>
      <c r="H21" s="91">
        <f t="shared" si="3"/>
        <v>246869.71065013608</v>
      </c>
      <c r="I21" s="92">
        <f t="shared" si="4"/>
        <v>-464773.8086716563</v>
      </c>
      <c r="K21" s="91">
        <f t="shared" si="8"/>
        <v>3532395.8046648167</v>
      </c>
      <c r="L21" s="91">
        <f t="shared" si="9"/>
        <v>223168.68383056065</v>
      </c>
      <c r="M21" s="92">
        <f t="shared" si="10"/>
        <v>-480685.69847286516</v>
      </c>
      <c r="O21">
        <f>O20*1.02</f>
        <v>6.3177711720710406E-2</v>
      </c>
    </row>
    <row r="22" spans="2:15" x14ac:dyDescent="0.25">
      <c r="B22">
        <v>19</v>
      </c>
      <c r="C22" s="91">
        <f t="shared" si="0"/>
        <v>3046279.8070925791</v>
      </c>
      <c r="D22" s="91">
        <f t="shared" si="7"/>
        <v>182776.78842555473</v>
      </c>
      <c r="E22" s="92">
        <f t="shared" si="1"/>
        <v>-363351.20605230355</v>
      </c>
      <c r="G22" s="91">
        <f t="shared" si="2"/>
        <v>3896591.0794807477</v>
      </c>
      <c r="H22" s="91">
        <f t="shared" si="3"/>
        <v>233795.46476884486</v>
      </c>
      <c r="I22" s="92">
        <f t="shared" si="4"/>
        <v>-464773.8086716563</v>
      </c>
      <c r="K22" s="91">
        <f t="shared" si="8"/>
        <v>3274878.790022512</v>
      </c>
      <c r="L22" s="91">
        <f t="shared" si="9"/>
        <v>211037.33507863741</v>
      </c>
      <c r="M22" s="92">
        <f t="shared" si="10"/>
        <v>-487072.116023532</v>
      </c>
      <c r="O22">
        <f>O21*1.02</f>
        <v>6.4441265955124616E-2</v>
      </c>
    </row>
    <row r="23" spans="2:15" x14ac:dyDescent="0.25">
      <c r="B23">
        <v>20</v>
      </c>
      <c r="C23" s="91">
        <f t="shared" si="0"/>
        <v>2865705.3894658303</v>
      </c>
      <c r="D23" s="91">
        <f t="shared" si="7"/>
        <v>171942.32336794981</v>
      </c>
      <c r="E23" s="92">
        <f t="shared" si="1"/>
        <v>-363351.20605230355</v>
      </c>
      <c r="G23" s="91">
        <f t="shared" si="2"/>
        <v>3665612.7355779363</v>
      </c>
      <c r="H23" s="91">
        <f t="shared" si="3"/>
        <v>219936.76413467617</v>
      </c>
      <c r="I23" s="92">
        <f t="shared" si="4"/>
        <v>-464773.8086716563</v>
      </c>
      <c r="K23" s="91">
        <f t="shared" si="8"/>
        <v>2998844.0090776174</v>
      </c>
      <c r="L23" s="91">
        <f t="shared" si="9"/>
        <v>197114.29043384091</v>
      </c>
      <c r="M23" s="92">
        <f t="shared" si="10"/>
        <v>-493620.32684267039</v>
      </c>
      <c r="O23">
        <f>O22*1.02</f>
        <v>6.5730091274227104E-2</v>
      </c>
    </row>
    <row r="24" spans="2:15" x14ac:dyDescent="0.25">
      <c r="B24">
        <v>21</v>
      </c>
      <c r="C24" s="91">
        <f t="shared" si="0"/>
        <v>2674296.5067814765</v>
      </c>
      <c r="D24" s="91">
        <f t="shared" si="7"/>
        <v>160457.79040688858</v>
      </c>
      <c r="E24" s="92">
        <f t="shared" si="1"/>
        <v>-363351.20605230355</v>
      </c>
      <c r="G24" s="91">
        <f t="shared" si="2"/>
        <v>3420775.6910409564</v>
      </c>
      <c r="H24" s="91">
        <f t="shared" si="3"/>
        <v>205246.54146245739</v>
      </c>
      <c r="I24" s="92">
        <f t="shared" si="4"/>
        <v>-464773.8086716563</v>
      </c>
      <c r="K24" s="91">
        <f t="shared" si="8"/>
        <v>2702337.9726687879</v>
      </c>
      <c r="L24" s="91">
        <f t="shared" si="9"/>
        <v>181177.42002927585</v>
      </c>
      <c r="M24" s="92">
        <f t="shared" si="10"/>
        <v>-500334.42624996579</v>
      </c>
      <c r="O24">
        <f>O23*1.02</f>
        <v>6.7044693099711644E-2</v>
      </c>
    </row>
    <row r="25" spans="2:15" x14ac:dyDescent="0.25">
      <c r="B25">
        <v>22</v>
      </c>
      <c r="C25" s="91">
        <f t="shared" si="0"/>
        <v>2471403.0911360616</v>
      </c>
      <c r="D25" s="91">
        <f t="shared" si="7"/>
        <v>148284.18546816369</v>
      </c>
      <c r="E25" s="92">
        <f t="shared" si="1"/>
        <v>-363351.20605230355</v>
      </c>
      <c r="G25" s="91">
        <f t="shared" si="2"/>
        <v>3161248.4238317572</v>
      </c>
      <c r="H25" s="91">
        <f t="shared" si="3"/>
        <v>189674.90542990543</v>
      </c>
      <c r="I25" s="92">
        <f t="shared" si="4"/>
        <v>-464773.8086716563</v>
      </c>
      <c r="K25" s="91">
        <f t="shared" si="8"/>
        <v>2383180.9664480984</v>
      </c>
      <c r="L25" s="91">
        <f t="shared" si="9"/>
        <v>162975.22922651868</v>
      </c>
      <c r="M25" s="92">
        <f t="shared" si="10"/>
        <v>-507218.59534683626</v>
      </c>
      <c r="O25">
        <f>O24*1.02</f>
        <v>6.838558696170588E-2</v>
      </c>
    </row>
    <row r="26" spans="2:15" x14ac:dyDescent="0.25">
      <c r="B26">
        <v>23</v>
      </c>
      <c r="C26" s="91">
        <f t="shared" si="0"/>
        <v>2256336.0705519216</v>
      </c>
      <c r="D26" s="91">
        <f t="shared" si="7"/>
        <v>135380.1642331153</v>
      </c>
      <c r="E26" s="92">
        <f t="shared" si="1"/>
        <v>-363351.20605230355</v>
      </c>
      <c r="G26" s="91">
        <f t="shared" si="2"/>
        <v>2886149.5205900064</v>
      </c>
      <c r="H26" s="91">
        <f t="shared" si="3"/>
        <v>173168.97123540039</v>
      </c>
      <c r="I26" s="92">
        <f t="shared" si="4"/>
        <v>-464773.8086716563</v>
      </c>
      <c r="K26" s="91">
        <f t="shared" si="8"/>
        <v>2038937.6003277809</v>
      </c>
      <c r="L26" s="91">
        <f t="shared" si="9"/>
        <v>142222.62346824151</v>
      </c>
      <c r="M26" s="92">
        <f t="shared" si="10"/>
        <v>-514277.10138418816</v>
      </c>
      <c r="O26">
        <f>O25*1.02</f>
        <v>6.9753298700939992E-2</v>
      </c>
    </row>
    <row r="27" spans="2:15" x14ac:dyDescent="0.25">
      <c r="B27">
        <v>24</v>
      </c>
      <c r="C27" s="91">
        <f t="shared" si="0"/>
        <v>2028365.0287327336</v>
      </c>
      <c r="D27" s="91">
        <f t="shared" si="7"/>
        <v>121701.90172396401</v>
      </c>
      <c r="E27" s="92">
        <f t="shared" si="1"/>
        <v>-363351.20605230355</v>
      </c>
      <c r="G27" s="91">
        <f t="shared" si="2"/>
        <v>2594544.6831537504</v>
      </c>
      <c r="H27" s="91">
        <f t="shared" si="3"/>
        <v>155672.68098922502</v>
      </c>
      <c r="I27" s="92">
        <f t="shared" si="4"/>
        <v>-464773.8086716563</v>
      </c>
      <c r="K27" s="91">
        <f t="shared" si="8"/>
        <v>1666883.1224118345</v>
      </c>
      <c r="L27" s="91">
        <f t="shared" si="9"/>
        <v>118596.00826389117</v>
      </c>
      <c r="M27" s="92">
        <f t="shared" si="10"/>
        <v>-521514.29804477084</v>
      </c>
      <c r="O27">
        <f>O26*1.02</f>
        <v>7.1148364674958789E-2</v>
      </c>
    </row>
    <row r="28" spans="2:15" x14ac:dyDescent="0.25">
      <c r="B28">
        <v>25</v>
      </c>
      <c r="C28" s="91">
        <f t="shared" si="0"/>
        <v>1786715.7244043939</v>
      </c>
      <c r="D28" s="91">
        <f t="shared" si="7"/>
        <v>107202.94346426363</v>
      </c>
      <c r="E28" s="92">
        <f t="shared" si="1"/>
        <v>-363351.20605230355</v>
      </c>
      <c r="G28" s="91">
        <f t="shared" si="2"/>
        <v>2285443.5554713188</v>
      </c>
      <c r="H28" s="91">
        <f t="shared" si="3"/>
        <v>137126.61332827911</v>
      </c>
      <c r="I28" s="92">
        <f t="shared" si="4"/>
        <v>-464773.8086716563</v>
      </c>
      <c r="K28" s="91">
        <f t="shared" si="8"/>
        <v>1263964.8326309547</v>
      </c>
      <c r="L28" s="91">
        <f t="shared" si="9"/>
        <v>91727.61146531743</v>
      </c>
      <c r="M28" s="92">
        <f t="shared" si="10"/>
        <v>-528934.6256375456</v>
      </c>
      <c r="O28">
        <f>O27*1.02</f>
        <v>7.2571331968457969E-2</v>
      </c>
    </row>
    <row r="29" spans="2:15" x14ac:dyDescent="0.25">
      <c r="B29">
        <v>26</v>
      </c>
      <c r="C29" s="91">
        <f t="shared" si="0"/>
        <v>1530567.461816354</v>
      </c>
      <c r="D29" s="91">
        <f t="shared" si="7"/>
        <v>91834.047708981234</v>
      </c>
      <c r="E29" s="92">
        <f t="shared" si="1"/>
        <v>-363351.20605230355</v>
      </c>
      <c r="G29" s="91">
        <f t="shared" si="2"/>
        <v>1957796.3601279415</v>
      </c>
      <c r="H29" s="91">
        <f t="shared" si="3"/>
        <v>117467.78160767649</v>
      </c>
      <c r="I29" s="92">
        <f t="shared" si="4"/>
        <v>-464773.8086716563</v>
      </c>
      <c r="K29" s="91">
        <f t="shared" si="8"/>
        <v>826757.81845872651</v>
      </c>
      <c r="L29" s="91">
        <f t="shared" si="9"/>
        <v>61198.894422904079</v>
      </c>
      <c r="M29" s="92">
        <f t="shared" si="10"/>
        <v>-536542.61120190891</v>
      </c>
      <c r="O29">
        <f>O28*1.02</f>
        <v>7.402275860782713E-2</v>
      </c>
    </row>
    <row r="30" spans="2:15" x14ac:dyDescent="0.25">
      <c r="B30">
        <v>27</v>
      </c>
      <c r="C30" s="91">
        <f t="shared" si="0"/>
        <v>1259050.3034730316</v>
      </c>
      <c r="D30" s="91">
        <f t="shared" si="7"/>
        <v>75543.018208381895</v>
      </c>
      <c r="E30" s="92">
        <f t="shared" si="1"/>
        <v>-363351.20605230355</v>
      </c>
      <c r="G30" s="91">
        <f t="shared" si="2"/>
        <v>1610490.3330639617</v>
      </c>
      <c r="H30" s="91">
        <f t="shared" si="3"/>
        <v>96629.419983837695</v>
      </c>
      <c r="I30" s="92">
        <f t="shared" si="4"/>
        <v>-464773.8086716563</v>
      </c>
      <c r="K30" s="91">
        <f t="shared" si="8"/>
        <v>351414.10167972173</v>
      </c>
      <c r="L30" s="91">
        <f t="shared" si="9"/>
        <v>26532.894044424949</v>
      </c>
      <c r="M30" s="92">
        <f>PMT(O30,30,$K$4)</f>
        <v>-544342.86852009164</v>
      </c>
      <c r="O30">
        <f>O29*1.02</f>
        <v>7.5503213779983674E-2</v>
      </c>
    </row>
    <row r="31" spans="2:15" x14ac:dyDescent="0.25">
      <c r="B31">
        <v>28</v>
      </c>
      <c r="C31" s="91">
        <f t="shared" si="0"/>
        <v>971242.11562911002</v>
      </c>
      <c r="D31" s="91">
        <f t="shared" si="7"/>
        <v>58274.526937746596</v>
      </c>
      <c r="E31" s="92">
        <f t="shared" si="1"/>
        <v>-363351.20605230355</v>
      </c>
      <c r="G31" s="91">
        <f t="shared" si="2"/>
        <v>1242345.9443761432</v>
      </c>
      <c r="H31" s="91">
        <f t="shared" si="3"/>
        <v>74540.756662568587</v>
      </c>
      <c r="I31" s="92">
        <f t="shared" si="4"/>
        <v>-464773.8086716563</v>
      </c>
      <c r="K31" s="91"/>
      <c r="L31" s="91"/>
      <c r="M31" s="92"/>
    </row>
    <row r="32" spans="2:15" x14ac:dyDescent="0.25">
      <c r="B32">
        <v>29</v>
      </c>
      <c r="C32" s="91">
        <f t="shared" si="0"/>
        <v>666165.43651455303</v>
      </c>
      <c r="D32" s="91">
        <f t="shared" si="7"/>
        <v>39969.926190873179</v>
      </c>
      <c r="E32" s="92">
        <f t="shared" si="1"/>
        <v>-363351.20605230355</v>
      </c>
      <c r="G32" s="91">
        <f t="shared" si="2"/>
        <v>852112.89236705541</v>
      </c>
      <c r="H32" s="91">
        <f t="shared" si="3"/>
        <v>51126.773542023322</v>
      </c>
      <c r="I32" s="92">
        <f t="shared" si="4"/>
        <v>-464773.8086716563</v>
      </c>
      <c r="K32" s="91"/>
      <c r="L32" s="91"/>
      <c r="M32" s="92"/>
    </row>
    <row r="33" spans="2:13" x14ac:dyDescent="0.25">
      <c r="B33">
        <v>30</v>
      </c>
      <c r="C33" s="91">
        <f t="shared" si="0"/>
        <v>342784.15665312263</v>
      </c>
      <c r="D33" s="91">
        <f t="shared" si="7"/>
        <v>20567.049399187355</v>
      </c>
      <c r="E33" s="92">
        <f t="shared" si="1"/>
        <v>-363351.20605230355</v>
      </c>
      <c r="G33" s="91">
        <f t="shared" si="2"/>
        <v>438465.85723742237</v>
      </c>
      <c r="H33" s="91">
        <f t="shared" si="3"/>
        <v>26307.95143424534</v>
      </c>
      <c r="I33" s="92">
        <f t="shared" si="4"/>
        <v>-464773.8086716563</v>
      </c>
      <c r="K33" s="91"/>
      <c r="L33" s="91"/>
      <c r="M33" s="92"/>
    </row>
    <row r="34" spans="2:13" x14ac:dyDescent="0.25">
      <c r="B34" s="98" t="s">
        <v>75</v>
      </c>
      <c r="C34" s="99">
        <f>C4</f>
        <v>5001468</v>
      </c>
      <c r="D34" s="99">
        <f>SUM(D4:D33)</f>
        <v>5899068.1815691097</v>
      </c>
      <c r="E34" s="100">
        <f>SUM(E4:E33)</f>
        <v>-10900536.181569101</v>
      </c>
      <c r="F34" s="98"/>
      <c r="G34" s="99">
        <f>G4</f>
        <v>6397533</v>
      </c>
      <c r="H34" s="99">
        <f>SUM(H4:H33)</f>
        <v>7545681.2601496968</v>
      </c>
      <c r="I34" s="100">
        <f>SUM(I4:I33)</f>
        <v>-13943214.260149693</v>
      </c>
      <c r="K34" s="91">
        <f>K4</f>
        <v>6397533</v>
      </c>
      <c r="L34" s="91">
        <f>SUM(L4:L33)</f>
        <v>5227787.6465874966</v>
      </c>
      <c r="M34" s="92">
        <f>SUM(M4:M33)</f>
        <v>-11791716.519383445</v>
      </c>
    </row>
    <row r="35" spans="2:13" x14ac:dyDescent="0.25">
      <c r="D35" s="91"/>
      <c r="K35" s="91"/>
      <c r="L35" s="91"/>
      <c r="M35" s="92"/>
    </row>
    <row r="36" spans="2:13" x14ac:dyDescent="0.25">
      <c r="K36" s="91"/>
      <c r="L36" s="91"/>
      <c r="M36" s="92"/>
    </row>
    <row r="37" spans="2:13" x14ac:dyDescent="0.25">
      <c r="K37" s="91"/>
      <c r="L37" s="91"/>
      <c r="M37" s="92"/>
    </row>
    <row r="38" spans="2:13" x14ac:dyDescent="0.25">
      <c r="K38" s="91"/>
      <c r="L38" s="91"/>
      <c r="M38" s="92"/>
    </row>
    <row r="39" spans="2:13" x14ac:dyDescent="0.25">
      <c r="K39" s="91"/>
      <c r="L39" s="91"/>
      <c r="M39" s="92"/>
    </row>
    <row r="40" spans="2:13" x14ac:dyDescent="0.25">
      <c r="K40" s="91"/>
      <c r="L40" s="91"/>
      <c r="M40" s="92"/>
    </row>
    <row r="41" spans="2:13" x14ac:dyDescent="0.25">
      <c r="K41" s="91"/>
      <c r="L41" s="91"/>
      <c r="M41" s="92"/>
    </row>
    <row r="42" spans="2:13" x14ac:dyDescent="0.25">
      <c r="K42" s="91"/>
      <c r="L42" s="91"/>
      <c r="M42" s="92"/>
    </row>
    <row r="43" spans="2:13" x14ac:dyDescent="0.25">
      <c r="K43" s="91"/>
      <c r="L43" s="91"/>
      <c r="M43" s="92"/>
    </row>
  </sheetData>
  <mergeCells count="2">
    <mergeCell ref="C2:E2"/>
    <mergeCell ref="G2:I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Options</vt:lpstr>
      <vt:lpstr>Admin Options</vt:lpstr>
      <vt:lpstr>Debt Pmnt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Marker</dc:creator>
  <cp:lastModifiedBy>Dennis Marker</cp:lastModifiedBy>
  <cp:lastPrinted>2018-12-04T18:06:09Z</cp:lastPrinted>
  <dcterms:created xsi:type="dcterms:W3CDTF">2018-12-03T17:32:14Z</dcterms:created>
  <dcterms:modified xsi:type="dcterms:W3CDTF">2018-12-04T23:06:34Z</dcterms:modified>
</cp:coreProperties>
</file>